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6480" windowHeight="5415" tabRatio="771" activeTab="0"/>
  </bookViews>
  <sheets>
    <sheet name="GW bridge reduced load" sheetId="1" r:id="rId1"/>
    <sheet name="GW bridge full load" sheetId="2" r:id="rId2"/>
  </sheets>
  <definedNames>
    <definedName name="A" localSheetId="1">'GW bridge full load'!$G$2</definedName>
    <definedName name="A" localSheetId="0">'GW bridge reduced load'!$G$2</definedName>
    <definedName name="A">#REF!</definedName>
    <definedName name="d">#REF!</definedName>
    <definedName name="E" localSheetId="1">'GW bridge full load'!$G$1</definedName>
    <definedName name="E" localSheetId="0">'GW bridge reduced load'!$G$1</definedName>
    <definedName name="E">#REF!</definedName>
    <definedName name="k" localSheetId="1">'GW bridge full load'!$F$6</definedName>
    <definedName name="k" localSheetId="0">'GW bridge reduced load'!$F$6</definedName>
    <definedName name="k">#REF!</definedName>
    <definedName name="L">#REF!</definedName>
    <definedName name="Lo" localSheetId="1">'GW bridge full load'!$B$1</definedName>
    <definedName name="Lo" localSheetId="0">'GW bridge reduced load'!$B$1</definedName>
    <definedName name="Lo">#REF!</definedName>
    <definedName name="N" localSheetId="1">'GW bridge full load'!$B$6</definedName>
    <definedName name="N" localSheetId="0">'GW bridge reduced load'!$B$6</definedName>
    <definedName name="N">#REF!</definedName>
    <definedName name="s">#REF!</definedName>
    <definedName name="so" localSheetId="1">'GW bridge full load'!$D$6</definedName>
    <definedName name="so" localSheetId="0">'GW bridge reduced load'!$D$6</definedName>
    <definedName name="so">#REF!</definedName>
    <definedName name="solver_adj" localSheetId="1" hidden="1">'GW bridge full load'!$D$9:$D$29,'GW bridge full load'!$E$9:$E$28</definedName>
    <definedName name="solver_adj" localSheetId="0" hidden="1">'GW bridge reduced load'!$D$9:$D$29,'GW bridge reduced load'!$E$9:$E$28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'GW bridge full load'!$B$29</definedName>
    <definedName name="solver_lhs1" localSheetId="0" hidden="1">'GW bridge reduced load'!$B$29</definedName>
    <definedName name="solver_lhs2" localSheetId="1" hidden="1">'GW bridge full load'!$C$29</definedName>
    <definedName name="solver_lhs2" localSheetId="0" hidden="1">'GW bridge reduced load'!$C$29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'GW bridge full load'!$G$31</definedName>
    <definedName name="solver_opt" localSheetId="0" hidden="1">'GW bridge reduced load'!$G$31</definedName>
    <definedName name="solver_pre" localSheetId="1" hidden="1">0.000001</definedName>
    <definedName name="solver_pre" localSheetId="0" hidden="1">0.000001</definedName>
    <definedName name="solver_rel1" localSheetId="1" hidden="1">2</definedName>
    <definedName name="solver_rel1" localSheetId="0" hidden="1">2</definedName>
    <definedName name="solver_rel2" localSheetId="1" hidden="1">2</definedName>
    <definedName name="solver_rel2" localSheetId="0" hidden="1">2</definedName>
    <definedName name="solver_rhs1" localSheetId="1" hidden="1">'GW bridge full load'!$B$4</definedName>
    <definedName name="solver_rhs1" localSheetId="0" hidden="1">'GW bridge reduced load'!$B$4</definedName>
    <definedName name="solver_rhs2" localSheetId="1" hidden="1">'GW bridge full load'!$D$4</definedName>
    <definedName name="solver_rhs2" localSheetId="0" hidden="1">'GW bridge reduced load'!$D$4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tm">#REF!</definedName>
    <definedName name="uts">#REF!</definedName>
    <definedName name="w" localSheetId="1">'GW bridge full load'!$B$2</definedName>
    <definedName name="w" localSheetId="0">'GW bridge reduced load'!$B$2</definedName>
    <definedName name="w">#REF!</definedName>
    <definedName name="w0">#REF!</definedName>
    <definedName name="wo" localSheetId="1">'GW bridge full load'!$B$3</definedName>
    <definedName name="wo" localSheetId="0">'GW bridge reduced load'!$B$3</definedName>
    <definedName name="wo">#REF!</definedName>
    <definedName name="Ww">#REF!</definedName>
    <definedName name="xe" localSheetId="1">'GW bridge full load'!$B$4</definedName>
    <definedName name="xe" localSheetId="0">'GW bridge reduced load'!$B$4</definedName>
    <definedName name="xe">#REF!</definedName>
    <definedName name="xw">#REF!</definedName>
    <definedName name="ye" localSheetId="1">'GW bridge full load'!$D$4</definedName>
    <definedName name="ye" localSheetId="0">'GW bridge reduced load'!$D$4</definedName>
    <definedName name="ye">#REF!</definedName>
    <definedName name="yw">#REF!</definedName>
  </definedNames>
  <calcPr fullCalcOnLoad="1"/>
</workbook>
</file>

<file path=xl/sharedStrings.xml><?xml version="1.0" encoding="utf-8"?>
<sst xmlns="http://schemas.openxmlformats.org/spreadsheetml/2006/main" count="91" uniqueCount="44">
  <si>
    <t>cable wt/length</t>
  </si>
  <si>
    <t>xe</t>
  </si>
  <si>
    <t>ye</t>
  </si>
  <si>
    <t>number of segments</t>
  </si>
  <si>
    <t xml:space="preserve">point </t>
  </si>
  <si>
    <t>x</t>
  </si>
  <si>
    <t>y</t>
  </si>
  <si>
    <t>theta</t>
  </si>
  <si>
    <t>energy</t>
  </si>
  <si>
    <t>tension</t>
  </si>
  <si>
    <t>Tx</t>
  </si>
  <si>
    <t>Ty</t>
  </si>
  <si>
    <t>net vert force</t>
  </si>
  <si>
    <t>segment midpoint</t>
  </si>
  <si>
    <t>total sag</t>
  </si>
  <si>
    <t>length</t>
  </si>
  <si>
    <t xml:space="preserve"> grav energy</t>
  </si>
  <si>
    <t>strain energy</t>
  </si>
  <si>
    <t>total PE</t>
  </si>
  <si>
    <t>max sag</t>
  </si>
  <si>
    <t>cable xsection A</t>
  </si>
  <si>
    <t>seg stiffness</t>
  </si>
  <si>
    <t>overload wt/length</t>
  </si>
  <si>
    <t>overload energy</t>
  </si>
  <si>
    <t>net load</t>
  </si>
  <si>
    <t>stretched cable length</t>
  </si>
  <si>
    <t>elongation</t>
  </si>
  <si>
    <t>cable modulus E</t>
  </si>
  <si>
    <t>cable length Lo</t>
  </si>
  <si>
    <t>seg length so</t>
  </si>
  <si>
    <t>Tension</t>
  </si>
  <si>
    <t>max tension</t>
  </si>
  <si>
    <t>kips/ft</t>
  </si>
  <si>
    <t>ft</t>
  </si>
  <si>
    <t>acutal sag</t>
  </si>
  <si>
    <t>ksi</t>
  </si>
  <si>
    <t>in^2</t>
  </si>
  <si>
    <t>yield stress</t>
  </si>
  <si>
    <t>yield load</t>
  </si>
  <si>
    <t>kips</t>
  </si>
  <si>
    <t>Yield load</t>
  </si>
  <si>
    <t>FS: Yield load/max T</t>
  </si>
  <si>
    <t>Max T</t>
  </si>
  <si>
    <t>FS: Yield/max 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</si>
</sst>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Cable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'GW bridge reduced load'!$B$9:$B$29</c:f>
              <c:numCache/>
            </c:numRef>
          </c:xVal>
          <c:yVal>
            <c:numRef>
              <c:f>'GW bridge reduced load'!$C$9:$C$29</c:f>
              <c:numCache/>
            </c:numRef>
          </c:yVal>
          <c:smooth val="1"/>
        </c:ser>
        <c:axId val="41430351"/>
        <c:axId val="37328840"/>
      </c:scatterChart>
      <c:valAx>
        <c:axId val="414303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7328840"/>
        <c:crosses val="autoZero"/>
        <c:crossBetween val="midCat"/>
        <c:dispUnits/>
      </c:valAx>
      <c:valAx>
        <c:axId val="373288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30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Cable Tension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'GW bridge reduced load'!$I$9:$I$28</c:f>
              <c:numCache/>
            </c:numRef>
          </c:xVal>
          <c:yVal>
            <c:numRef>
              <c:f>'GW bridge reduced load'!$J$9:$J$28</c:f>
              <c:numCache/>
            </c:numRef>
          </c:yVal>
          <c:smooth val="1"/>
        </c:ser>
        <c:axId val="415241"/>
        <c:axId val="3737170"/>
      </c:scatterChart>
      <c:val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7170"/>
        <c:crosses val="autoZero"/>
        <c:crossBetween val="midCat"/>
        <c:dispUnits/>
      </c:valAx>
      <c:valAx>
        <c:axId val="3737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Cable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'GW bridge full load'!$B$9:$B$29</c:f>
              <c:numCache/>
            </c:numRef>
          </c:xVal>
          <c:yVal>
            <c:numRef>
              <c:f>'GW bridge full load'!$C$9:$C$29</c:f>
              <c:numCache/>
            </c:numRef>
          </c:yVal>
          <c:smooth val="1"/>
        </c:ser>
        <c:axId val="33634531"/>
        <c:axId val="34275324"/>
      </c:scatterChart>
      <c:valAx>
        <c:axId val="336345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4275324"/>
        <c:crosses val="autoZero"/>
        <c:crossBetween val="midCat"/>
        <c:dispUnits/>
      </c:valAx>
      <c:valAx>
        <c:axId val="342753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34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Cable Tension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'GW bridge full load'!$I$9:$I$28</c:f>
              <c:numCache/>
            </c:numRef>
          </c:xVal>
          <c:yVal>
            <c:numRef>
              <c:f>'GW bridge full load'!$J$9:$J$28</c:f>
              <c:numCache/>
            </c:numRef>
          </c:yVal>
          <c:smooth val="1"/>
        </c:ser>
        <c:axId val="40042461"/>
        <c:axId val="24837830"/>
      </c:scatterChart>
      <c:val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7830"/>
        <c:crosses val="autoZero"/>
        <c:crossBetween val="midCat"/>
        <c:dispUnits/>
      </c:valAx>
      <c:valAx>
        <c:axId val="2483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9</xdr:row>
      <xdr:rowOff>0</xdr:rowOff>
    </xdr:from>
    <xdr:to>
      <xdr:col>17</xdr:col>
      <xdr:colOff>295275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8153400" y="1457325"/>
        <a:ext cx="51244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40</xdr:row>
      <xdr:rowOff>123825</xdr:rowOff>
    </xdr:from>
    <xdr:to>
      <xdr:col>15</xdr:col>
      <xdr:colOff>333375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6553200" y="6619875"/>
        <a:ext cx="5543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14</xdr:row>
      <xdr:rowOff>57150</xdr:rowOff>
    </xdr:from>
    <xdr:to>
      <xdr:col>17</xdr:col>
      <xdr:colOff>400050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7781925" y="2324100"/>
        <a:ext cx="51244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40</xdr:row>
      <xdr:rowOff>123825</xdr:rowOff>
    </xdr:from>
    <xdr:to>
      <xdr:col>15</xdr:col>
      <xdr:colOff>333375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6076950" y="6619875"/>
        <a:ext cx="5543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17.8515625" style="0" customWidth="1"/>
    <col min="2" max="2" width="12.421875" style="0" bestFit="1" customWidth="1"/>
    <col min="3" max="3" width="11.7109375" style="0" customWidth="1"/>
    <col min="6" max="6" width="11.00390625" style="0" bestFit="1" customWidth="1"/>
    <col min="7" max="7" width="20.421875" style="0" customWidth="1"/>
    <col min="8" max="9" width="13.28125" style="0" customWidth="1"/>
    <col min="10" max="10" width="10.00390625" style="0" bestFit="1" customWidth="1"/>
    <col min="12" max="12" width="10.7109375" style="0" customWidth="1"/>
    <col min="14" max="14" width="10.00390625" style="0" bestFit="1" customWidth="1"/>
  </cols>
  <sheetData>
    <row r="1" spans="1:11" ht="12.75">
      <c r="A1" t="s">
        <v>28</v>
      </c>
      <c r="B1">
        <v>3568</v>
      </c>
      <c r="C1" t="s">
        <v>33</v>
      </c>
      <c r="E1" t="s">
        <v>27</v>
      </c>
      <c r="G1" s="1">
        <v>30000</v>
      </c>
      <c r="H1" t="s">
        <v>35</v>
      </c>
      <c r="I1" t="s">
        <v>37</v>
      </c>
      <c r="J1">
        <v>184</v>
      </c>
      <c r="K1" t="s">
        <v>35</v>
      </c>
    </row>
    <row r="2" spans="1:11" ht="12.75">
      <c r="A2" t="s">
        <v>0</v>
      </c>
      <c r="B2">
        <v>2.716</v>
      </c>
      <c r="C2" t="s">
        <v>32</v>
      </c>
      <c r="E2" t="s">
        <v>20</v>
      </c>
      <c r="G2">
        <f>800</f>
        <v>800</v>
      </c>
      <c r="H2" t="s">
        <v>36</v>
      </c>
      <c r="I2" t="s">
        <v>38</v>
      </c>
      <c r="J2">
        <f>A*J1</f>
        <v>147200</v>
      </c>
      <c r="K2" t="s">
        <v>39</v>
      </c>
    </row>
    <row r="3" spans="1:3" ht="12.75">
      <c r="A3" t="s">
        <v>22</v>
      </c>
      <c r="B3">
        <f>(27.6+7.8)/4</f>
        <v>8.85</v>
      </c>
      <c r="C3" t="s">
        <v>32</v>
      </c>
    </row>
    <row r="4" spans="1:4" ht="12.75">
      <c r="A4" t="s">
        <v>1</v>
      </c>
      <c r="B4">
        <v>3500</v>
      </c>
      <c r="C4" t="s">
        <v>2</v>
      </c>
      <c r="D4">
        <v>0</v>
      </c>
    </row>
    <row r="6" spans="1:6" ht="12.75">
      <c r="A6" t="s">
        <v>3</v>
      </c>
      <c r="B6">
        <v>20</v>
      </c>
      <c r="C6" t="s">
        <v>29</v>
      </c>
      <c r="D6">
        <f>Lo/N</f>
        <v>178.4</v>
      </c>
      <c r="E6" t="s">
        <v>21</v>
      </c>
      <c r="F6">
        <f>E*A/so</f>
        <v>134529.14798206277</v>
      </c>
    </row>
    <row r="7" ht="12.75">
      <c r="I7" t="s">
        <v>13</v>
      </c>
    </row>
    <row r="8" spans="1:14" ht="12.75">
      <c r="A8" t="s">
        <v>4</v>
      </c>
      <c r="B8" t="s">
        <v>5</v>
      </c>
      <c r="C8" t="s">
        <v>6</v>
      </c>
      <c r="D8" t="s">
        <v>7</v>
      </c>
      <c r="E8" t="s">
        <v>15</v>
      </c>
      <c r="F8" t="s">
        <v>17</v>
      </c>
      <c r="G8" t="s">
        <v>16</v>
      </c>
      <c r="H8" t="s">
        <v>23</v>
      </c>
      <c r="J8" t="s">
        <v>9</v>
      </c>
      <c r="K8" t="s">
        <v>10</v>
      </c>
      <c r="L8" t="s">
        <v>11</v>
      </c>
      <c r="N8" t="s">
        <v>30</v>
      </c>
    </row>
    <row r="9" spans="1:14" ht="12.75">
      <c r="A9">
        <v>0</v>
      </c>
      <c r="B9">
        <v>0</v>
      </c>
      <c r="C9">
        <v>0</v>
      </c>
      <c r="D9">
        <v>0.3368358414595722</v>
      </c>
      <c r="E9">
        <v>178.73643934592585</v>
      </c>
      <c r="F9">
        <f aca="true" t="shared" si="0" ref="F9:F28">(k/2)*(so-E9)^2</f>
        <v>7613.773552937668</v>
      </c>
      <c r="G9">
        <f>-C9*w*E9</f>
        <v>0</v>
      </c>
      <c r="H9">
        <f>wo*C9</f>
        <v>0</v>
      </c>
      <c r="I9">
        <f aca="true" t="shared" si="1" ref="I9:I28">(B9+B10)/2</f>
        <v>84.34618601119601</v>
      </c>
      <c r="J9">
        <f>(wo*xe+w*Lo)/(SIN(D9)-COS(D9)*TAN(D28))</f>
        <v>61469.28850324813</v>
      </c>
      <c r="K9">
        <f aca="true" t="shared" si="2" ref="K9:K28">J9*COS(D9)</f>
        <v>58015.03108200998</v>
      </c>
      <c r="L9">
        <f aca="true" t="shared" si="3" ref="L9:L28">ABS(J9*SIN(D9))</f>
        <v>20315.747528677577</v>
      </c>
      <c r="N9">
        <f aca="true" t="shared" si="4" ref="N9:N28">k*(E9-so)</f>
        <v>45260.898555045664</v>
      </c>
    </row>
    <row r="10" spans="1:14" ht="12.75">
      <c r="A10">
        <v>1</v>
      </c>
      <c r="B10">
        <f aca="true" t="shared" si="5" ref="B10:B29">B9+E9*COS(D9)</f>
        <v>168.69237202239202</v>
      </c>
      <c r="C10">
        <f aca="true" t="shared" si="6" ref="C10:C29">C9+E9*SIN(D9)</f>
        <v>59.072822613438035</v>
      </c>
      <c r="D10">
        <v>0.30194075706795975</v>
      </c>
      <c r="E10">
        <v>178.73478832217424</v>
      </c>
      <c r="F10">
        <f t="shared" si="0"/>
        <v>7539.2300895227645</v>
      </c>
      <c r="G10">
        <f aca="true" t="shared" si="7" ref="G10:G29">-so*w*(C10+C9)/2</f>
        <v>-14311.407330654318</v>
      </c>
      <c r="H10">
        <f aca="true" t="shared" si="8" ref="H10:H29">-(B10-B9)*wo*(C10+C9)/2</f>
        <v>-44095.720466580955</v>
      </c>
      <c r="I10">
        <f t="shared" si="1"/>
        <v>254.01688870552627</v>
      </c>
      <c r="J10">
        <f aca="true" t="shared" si="9" ref="J10:J28">J9*COS(D9)/COS(D10)</f>
        <v>60763.92051803482</v>
      </c>
      <c r="K10">
        <f t="shared" si="2"/>
        <v>58015.03108200998</v>
      </c>
      <c r="L10">
        <f t="shared" si="3"/>
        <v>18069.593389876536</v>
      </c>
      <c r="N10">
        <f t="shared" si="4"/>
        <v>45038.78773644398</v>
      </c>
    </row>
    <row r="11" spans="1:14" ht="12.75">
      <c r="A11">
        <v>2</v>
      </c>
      <c r="B11">
        <f t="shared" si="5"/>
        <v>339.3414053886605</v>
      </c>
      <c r="C11">
        <f t="shared" si="6"/>
        <v>112.22385240337354</v>
      </c>
      <c r="D11">
        <v>0.2667306977197602</v>
      </c>
      <c r="E11">
        <v>178.7339912880604</v>
      </c>
      <c r="F11">
        <f t="shared" si="0"/>
        <v>7503.37536997115</v>
      </c>
      <c r="G11">
        <f t="shared" si="7"/>
        <v>-41499.5658256329</v>
      </c>
      <c r="H11">
        <f t="shared" si="8"/>
        <v>-129349.88314635068</v>
      </c>
      <c r="I11">
        <f t="shared" si="1"/>
        <v>425.5481847744731</v>
      </c>
      <c r="J11">
        <f t="shared" si="9"/>
        <v>60141.77848810251</v>
      </c>
      <c r="K11">
        <f t="shared" si="2"/>
        <v>58015.03108200998</v>
      </c>
      <c r="L11">
        <f t="shared" si="3"/>
        <v>15852.119361946701</v>
      </c>
      <c r="N11">
        <f t="shared" si="4"/>
        <v>44931.56341619583</v>
      </c>
    </row>
    <row r="12" spans="1:14" ht="12.75">
      <c r="A12">
        <v>3</v>
      </c>
      <c r="B12">
        <f t="shared" si="5"/>
        <v>511.7549641602857</v>
      </c>
      <c r="C12">
        <f t="shared" si="6"/>
        <v>159.33440741457883</v>
      </c>
      <c r="D12">
        <v>0.23133257756407863</v>
      </c>
      <c r="E12">
        <v>178.73393777986507</v>
      </c>
      <c r="F12">
        <f t="shared" si="0"/>
        <v>7500.971355686783</v>
      </c>
      <c r="G12">
        <f t="shared" si="7"/>
        <v>-65789.65924296784</v>
      </c>
      <c r="H12">
        <f t="shared" si="8"/>
        <v>-207179.94250151434</v>
      </c>
      <c r="I12">
        <f t="shared" si="1"/>
        <v>598.7413518596217</v>
      </c>
      <c r="J12">
        <f t="shared" si="9"/>
        <v>59602.74492343397</v>
      </c>
      <c r="K12">
        <f t="shared" si="2"/>
        <v>58015.03108200998</v>
      </c>
      <c r="L12">
        <f t="shared" si="3"/>
        <v>13665.407822723402</v>
      </c>
      <c r="N12">
        <f t="shared" si="4"/>
        <v>44924.365004269144</v>
      </c>
    </row>
    <row r="13" spans="1:14" ht="12.75">
      <c r="A13">
        <v>4</v>
      </c>
      <c r="B13">
        <f t="shared" si="5"/>
        <v>685.7277395589576</v>
      </c>
      <c r="C13">
        <f t="shared" si="6"/>
        <v>200.31359645462624</v>
      </c>
      <c r="D13">
        <v>0.1960263636257102</v>
      </c>
      <c r="E13">
        <v>178.73231496584052</v>
      </c>
      <c r="F13">
        <f t="shared" si="0"/>
        <v>7428.244609074843</v>
      </c>
      <c r="G13">
        <f t="shared" si="7"/>
        <v>-87130.9148829815</v>
      </c>
      <c r="H13">
        <f t="shared" si="8"/>
        <v>-276867.65419375175</v>
      </c>
      <c r="I13">
        <f t="shared" si="1"/>
        <v>773.3823812315185</v>
      </c>
      <c r="J13">
        <f t="shared" si="9"/>
        <v>59147.813568375874</v>
      </c>
      <c r="K13">
        <f t="shared" si="2"/>
        <v>58015.03108200998</v>
      </c>
      <c r="L13">
        <f t="shared" si="3"/>
        <v>11520.417460872037</v>
      </c>
      <c r="N13">
        <f t="shared" si="4"/>
        <v>44706.04921621211</v>
      </c>
    </row>
    <row r="14" spans="1:14" ht="12.75">
      <c r="A14">
        <v>5</v>
      </c>
      <c r="B14">
        <f t="shared" si="5"/>
        <v>861.0370229040793</v>
      </c>
      <c r="C14">
        <f t="shared" si="6"/>
        <v>235.1258871874735</v>
      </c>
      <c r="D14">
        <v>0.1605414614130364</v>
      </c>
      <c r="E14">
        <v>178.7323623669507</v>
      </c>
      <c r="F14">
        <f t="shared" si="0"/>
        <v>7430.363876573891</v>
      </c>
      <c r="G14">
        <f t="shared" si="7"/>
        <v>-105492.70447141732</v>
      </c>
      <c r="H14">
        <f t="shared" si="8"/>
        <v>-337789.3833922885</v>
      </c>
      <c r="I14">
        <f t="shared" si="1"/>
        <v>949.2540331036396</v>
      </c>
      <c r="J14">
        <f t="shared" si="9"/>
        <v>58770.77184220533</v>
      </c>
      <c r="K14">
        <f t="shared" si="2"/>
        <v>58015.03108200998</v>
      </c>
      <c r="L14">
        <f t="shared" si="3"/>
        <v>9394.668247573805</v>
      </c>
      <c r="N14">
        <f t="shared" si="4"/>
        <v>44712.426047178036</v>
      </c>
    </row>
    <row r="15" spans="1:14" ht="12.75">
      <c r="A15">
        <v>6</v>
      </c>
      <c r="B15">
        <f t="shared" si="5"/>
        <v>1037.4710433031998</v>
      </c>
      <c r="C15">
        <f t="shared" si="6"/>
        <v>263.69674302123684</v>
      </c>
      <c r="D15">
        <v>0.12497316840790358</v>
      </c>
      <c r="E15">
        <v>178.73119888769978</v>
      </c>
      <c r="F15">
        <f t="shared" si="0"/>
        <v>7378.43295158509</v>
      </c>
      <c r="G15">
        <f t="shared" si="7"/>
        <v>-120848.36191729968</v>
      </c>
      <c r="H15">
        <f t="shared" si="8"/>
        <v>-389441.07335350546</v>
      </c>
      <c r="I15">
        <f t="shared" si="1"/>
        <v>1126.1396815177534</v>
      </c>
      <c r="J15">
        <f t="shared" si="9"/>
        <v>58471.0460631214</v>
      </c>
      <c r="K15">
        <f t="shared" si="2"/>
        <v>58015.03108200998</v>
      </c>
      <c r="L15">
        <f t="shared" si="3"/>
        <v>7288.305445649312</v>
      </c>
      <c r="N15">
        <f t="shared" si="4"/>
        <v>44555.90417485698</v>
      </c>
    </row>
    <row r="16" spans="1:14" ht="12.75">
      <c r="A16">
        <v>7</v>
      </c>
      <c r="B16">
        <f t="shared" si="5"/>
        <v>1214.808319732307</v>
      </c>
      <c r="C16">
        <f t="shared" si="6"/>
        <v>285.9752493567384</v>
      </c>
      <c r="D16">
        <v>0.08947950876302475</v>
      </c>
      <c r="E16">
        <v>178.7314767462834</v>
      </c>
      <c r="F16">
        <f t="shared" si="0"/>
        <v>7390.818385198655</v>
      </c>
      <c r="G16">
        <f t="shared" si="7"/>
        <v>-133167.4945118334</v>
      </c>
      <c r="H16">
        <f t="shared" si="8"/>
        <v>-431337.2032051943</v>
      </c>
      <c r="I16">
        <f t="shared" si="1"/>
        <v>1303.816539664751</v>
      </c>
      <c r="J16">
        <f t="shared" si="9"/>
        <v>58248.059486186765</v>
      </c>
      <c r="K16">
        <f t="shared" si="2"/>
        <v>58015.03108200998</v>
      </c>
      <c r="L16">
        <f t="shared" si="3"/>
        <v>5205.055471344006</v>
      </c>
      <c r="N16">
        <f t="shared" si="4"/>
        <v>44593.284253370264</v>
      </c>
    </row>
    <row r="17" spans="1:14" ht="12.75">
      <c r="A17">
        <v>8</v>
      </c>
      <c r="B17">
        <f t="shared" si="5"/>
        <v>1392.8247595971948</v>
      </c>
      <c r="C17">
        <f t="shared" si="6"/>
        <v>301.9467213533335</v>
      </c>
      <c r="D17">
        <v>0.05347122443722048</v>
      </c>
      <c r="E17">
        <v>178.73034928868563</v>
      </c>
      <c r="F17">
        <f t="shared" si="0"/>
        <v>7340.626852136652</v>
      </c>
      <c r="G17">
        <f t="shared" si="7"/>
        <v>-142434.20966241116</v>
      </c>
      <c r="H17">
        <f t="shared" si="8"/>
        <v>-463119.50943788973</v>
      </c>
      <c r="I17">
        <f t="shared" si="1"/>
        <v>1482.0622094826058</v>
      </c>
      <c r="J17">
        <f t="shared" si="9"/>
        <v>58098.06747389349</v>
      </c>
      <c r="K17">
        <f t="shared" si="2"/>
        <v>58015.03108200998</v>
      </c>
      <c r="L17">
        <f t="shared" si="3"/>
        <v>3105.0946450143406</v>
      </c>
      <c r="N17">
        <f t="shared" si="4"/>
        <v>44441.608343357584</v>
      </c>
    </row>
    <row r="18" spans="1:14" ht="12.75">
      <c r="A18">
        <v>9</v>
      </c>
      <c r="B18">
        <f t="shared" si="5"/>
        <v>1571.2996593680168</v>
      </c>
      <c r="C18">
        <f t="shared" si="6"/>
        <v>311.49909847374664</v>
      </c>
      <c r="D18">
        <v>0.018057343495598337</v>
      </c>
      <c r="E18">
        <v>178.7308973267481</v>
      </c>
      <c r="F18">
        <f t="shared" si="0"/>
        <v>7365.002747693231</v>
      </c>
      <c r="G18">
        <f t="shared" si="7"/>
        <v>-148617.80112121123</v>
      </c>
      <c r="H18">
        <f t="shared" si="8"/>
        <v>-484469.71434747044</v>
      </c>
      <c r="I18">
        <f t="shared" si="1"/>
        <v>1660.6505388361734</v>
      </c>
      <c r="J18">
        <f t="shared" si="9"/>
        <v>58024.49077975897</v>
      </c>
      <c r="K18">
        <f t="shared" si="2"/>
        <v>58015.03108200998</v>
      </c>
      <c r="L18">
        <f t="shared" si="3"/>
        <v>1047.7112215445406</v>
      </c>
      <c r="N18">
        <f t="shared" si="4"/>
        <v>44515.33543696423</v>
      </c>
    </row>
    <row r="19" spans="1:14" ht="12.75">
      <c r="A19">
        <v>10</v>
      </c>
      <c r="B19">
        <f t="shared" si="5"/>
        <v>1750.0014183043302</v>
      </c>
      <c r="C19">
        <f t="shared" si="6"/>
        <v>314.7263282908376</v>
      </c>
      <c r="D19">
        <v>-0.017967498276770875</v>
      </c>
      <c r="E19">
        <v>178.73062555225823</v>
      </c>
      <c r="F19">
        <f t="shared" si="0"/>
        <v>7352.909583367067</v>
      </c>
      <c r="G19">
        <f t="shared" si="7"/>
        <v>-151713.8807110609</v>
      </c>
      <c r="H19">
        <f t="shared" si="8"/>
        <v>-495191.0647466255</v>
      </c>
      <c r="I19">
        <f t="shared" si="1"/>
        <v>1839.3523065221325</v>
      </c>
      <c r="J19">
        <f t="shared" si="9"/>
        <v>58024.39686690995</v>
      </c>
      <c r="K19">
        <f t="shared" si="2"/>
        <v>58015.03108200998</v>
      </c>
      <c r="L19">
        <f t="shared" si="3"/>
        <v>1042.4971568718954</v>
      </c>
      <c r="N19">
        <f t="shared" si="4"/>
        <v>44478.773846398144</v>
      </c>
    </row>
    <row r="20" spans="1:14" ht="12.75">
      <c r="A20">
        <v>11</v>
      </c>
      <c r="B20">
        <f t="shared" si="5"/>
        <v>1928.703194739935</v>
      </c>
      <c r="C20">
        <f t="shared" si="6"/>
        <v>311.5151588682318</v>
      </c>
      <c r="D20">
        <v>-0.05382293897926429</v>
      </c>
      <c r="E20">
        <v>178.73086338666795</v>
      </c>
      <c r="F20">
        <f t="shared" si="0"/>
        <v>7363.491971124262</v>
      </c>
      <c r="G20">
        <f t="shared" si="7"/>
        <v>-151717.77161786373</v>
      </c>
      <c r="H20">
        <f t="shared" si="8"/>
        <v>-495203.81308102835</v>
      </c>
      <c r="I20">
        <f t="shared" si="1"/>
        <v>2017.9392159276904</v>
      </c>
      <c r="J20">
        <f t="shared" si="9"/>
        <v>58099.164758114646</v>
      </c>
      <c r="K20">
        <f t="shared" si="2"/>
        <v>58015.03108200998</v>
      </c>
      <c r="L20">
        <f t="shared" si="3"/>
        <v>3125.558213178397</v>
      </c>
      <c r="N20">
        <f t="shared" si="4"/>
        <v>44510.76950689815</v>
      </c>
    </row>
    <row r="21" spans="1:14" ht="12.75">
      <c r="A21">
        <v>12</v>
      </c>
      <c r="B21">
        <f t="shared" si="5"/>
        <v>2107.1752371154457</v>
      </c>
      <c r="C21">
        <f t="shared" si="6"/>
        <v>301.8999824653965</v>
      </c>
      <c r="D21">
        <v>-0.08909401537944117</v>
      </c>
      <c r="E21">
        <v>178.73183887916633</v>
      </c>
      <c r="F21">
        <f t="shared" si="0"/>
        <v>7406.9759008765</v>
      </c>
      <c r="G21">
        <f t="shared" si="7"/>
        <v>-148610.36872850242</v>
      </c>
      <c r="H21">
        <f t="shared" si="8"/>
        <v>-484437.7299580977</v>
      </c>
      <c r="I21">
        <f t="shared" si="1"/>
        <v>2196.1867092309512</v>
      </c>
      <c r="J21">
        <f t="shared" si="9"/>
        <v>58246.04930960001</v>
      </c>
      <c r="K21">
        <f t="shared" si="2"/>
        <v>58015.03108200998</v>
      </c>
      <c r="L21">
        <f t="shared" si="3"/>
        <v>5182.511816655275</v>
      </c>
      <c r="N21">
        <f t="shared" si="4"/>
        <v>44642.00168156861</v>
      </c>
    </row>
    <row r="22" spans="1:14" ht="12.75">
      <c r="A22">
        <v>13</v>
      </c>
      <c r="B22">
        <f t="shared" si="5"/>
        <v>2285.1981813464567</v>
      </c>
      <c r="C22">
        <f t="shared" si="6"/>
        <v>285.9971035923544</v>
      </c>
      <c r="D22">
        <v>-0.1250278889345653</v>
      </c>
      <c r="E22">
        <v>178.7315558768485</v>
      </c>
      <c r="F22">
        <f t="shared" si="0"/>
        <v>7394.347498168164</v>
      </c>
      <c r="G22">
        <f t="shared" si="7"/>
        <v>-142428.18092737035</v>
      </c>
      <c r="H22">
        <f t="shared" si="8"/>
        <v>-463116.8279793854</v>
      </c>
      <c r="I22">
        <f t="shared" si="1"/>
        <v>2373.8663869837383</v>
      </c>
      <c r="J22">
        <f t="shared" si="9"/>
        <v>58471.44810817933</v>
      </c>
      <c r="K22">
        <f t="shared" si="2"/>
        <v>58015.03108200998</v>
      </c>
      <c r="L22">
        <f t="shared" si="3"/>
        <v>7291.530183776523</v>
      </c>
      <c r="N22">
        <f t="shared" si="4"/>
        <v>44603.92962087221</v>
      </c>
    </row>
    <row r="23" spans="1:14" ht="12.75">
      <c r="A23">
        <v>14</v>
      </c>
      <c r="B23">
        <f t="shared" si="5"/>
        <v>2462.53459262102</v>
      </c>
      <c r="C23">
        <f t="shared" si="6"/>
        <v>263.7088487836441</v>
      </c>
      <c r="D23">
        <v>-0.16052508586526698</v>
      </c>
      <c r="E23">
        <v>178.7323006957236</v>
      </c>
      <c r="F23">
        <f t="shared" si="0"/>
        <v>7427.60666222359</v>
      </c>
      <c r="G23">
        <f t="shared" si="7"/>
        <v>-133175.72190546652</v>
      </c>
      <c r="H23">
        <f t="shared" si="8"/>
        <v>-431361.74776401755</v>
      </c>
      <c r="I23">
        <f t="shared" si="1"/>
        <v>2550.751806301284</v>
      </c>
      <c r="J23">
        <f t="shared" si="9"/>
        <v>58770.616003605006</v>
      </c>
      <c r="K23">
        <f t="shared" si="2"/>
        <v>58015.03108200998</v>
      </c>
      <c r="L23">
        <f t="shared" si="3"/>
        <v>9393.69330969502</v>
      </c>
      <c r="N23">
        <f t="shared" si="4"/>
        <v>44704.12946954303</v>
      </c>
    </row>
    <row r="24" spans="1:14" ht="12.75">
      <c r="A24">
        <v>15</v>
      </c>
      <c r="B24">
        <f t="shared" si="5"/>
        <v>2638.969019981548</v>
      </c>
      <c r="C24">
        <f t="shared" si="6"/>
        <v>235.14089201475758</v>
      </c>
      <c r="D24">
        <v>-0.19602979977263943</v>
      </c>
      <c r="E24">
        <v>178.73345234598852</v>
      </c>
      <c r="F24">
        <f t="shared" si="0"/>
        <v>7479.179397662354</v>
      </c>
      <c r="G24">
        <f t="shared" si="7"/>
        <v>-120854.92992395455</v>
      </c>
      <c r="H24">
        <f t="shared" si="8"/>
        <v>-389463.1374784595</v>
      </c>
      <c r="I24">
        <f t="shared" si="1"/>
        <v>2726.6241596418176</v>
      </c>
      <c r="J24">
        <f t="shared" si="9"/>
        <v>59147.85392753995</v>
      </c>
      <c r="K24">
        <f t="shared" si="2"/>
        <v>58015.03108200998</v>
      </c>
      <c r="L24">
        <f t="shared" si="3"/>
        <v>11520.624670000316</v>
      </c>
      <c r="N24">
        <f t="shared" si="4"/>
        <v>44859.05999845547</v>
      </c>
    </row>
    <row r="25" spans="1:14" ht="12.75">
      <c r="A25">
        <v>16</v>
      </c>
      <c r="B25">
        <f t="shared" si="5"/>
        <v>2814.279299302087</v>
      </c>
      <c r="C25">
        <f t="shared" si="6"/>
        <v>200.32777735849157</v>
      </c>
      <c r="D25">
        <v>-0.23128647327885396</v>
      </c>
      <c r="E25">
        <v>178.73349579860152</v>
      </c>
      <c r="F25">
        <f t="shared" si="0"/>
        <v>7481.128768040211</v>
      </c>
      <c r="G25">
        <f t="shared" si="7"/>
        <v>-105499.77521678284</v>
      </c>
      <c r="H25">
        <f t="shared" si="8"/>
        <v>-337813.9432295172</v>
      </c>
      <c r="I25">
        <f t="shared" si="1"/>
        <v>2901.266416460923</v>
      </c>
      <c r="J25">
        <f t="shared" si="9"/>
        <v>59602.09771763236</v>
      </c>
      <c r="K25">
        <f t="shared" si="2"/>
        <v>58015.03108200998</v>
      </c>
      <c r="L25">
        <f t="shared" si="3"/>
        <v>13662.584707719578</v>
      </c>
      <c r="N25">
        <f t="shared" si="4"/>
        <v>44864.90564145987</v>
      </c>
    </row>
    <row r="26" spans="1:14" ht="12.75">
      <c r="A26">
        <v>17</v>
      </c>
      <c r="B26">
        <f t="shared" si="5"/>
        <v>2988.2535336197593</v>
      </c>
      <c r="C26">
        <f t="shared" si="6"/>
        <v>159.35671056778668</v>
      </c>
      <c r="D26">
        <v>-0.26675187623890795</v>
      </c>
      <c r="E26">
        <v>178.73459306210506</v>
      </c>
      <c r="F26">
        <f t="shared" si="0"/>
        <v>7530.438377276135</v>
      </c>
      <c r="G26">
        <f t="shared" si="7"/>
        <v>-87139.75377333326</v>
      </c>
      <c r="H26">
        <f t="shared" si="8"/>
        <v>-276898.06271941337</v>
      </c>
      <c r="I26">
        <f t="shared" si="1"/>
        <v>3074.4601043656494</v>
      </c>
      <c r="J26">
        <f t="shared" si="9"/>
        <v>60142.1265351908</v>
      </c>
      <c r="K26">
        <f t="shared" si="2"/>
        <v>58015.03108200998</v>
      </c>
      <c r="L26">
        <f t="shared" si="3"/>
        <v>15853.43977590724</v>
      </c>
      <c r="N26">
        <f t="shared" si="4"/>
        <v>45012.519565702736</v>
      </c>
    </row>
    <row r="27" spans="1:14" ht="12.75">
      <c r="A27">
        <v>18</v>
      </c>
      <c r="B27">
        <f t="shared" si="5"/>
        <v>3160.66667511154</v>
      </c>
      <c r="C27">
        <f t="shared" si="6"/>
        <v>112.2423454759009</v>
      </c>
      <c r="D27">
        <v>-0.3015284841477903</v>
      </c>
      <c r="E27">
        <v>178.73628531743785</v>
      </c>
      <c r="F27">
        <f t="shared" si="0"/>
        <v>7606.803681004697</v>
      </c>
      <c r="G27">
        <f t="shared" si="7"/>
        <v>-65799.54283034729</v>
      </c>
      <c r="H27">
        <f t="shared" si="8"/>
        <v>-207210.56566822255</v>
      </c>
      <c r="I27">
        <f t="shared" si="1"/>
        <v>3246.0028556364045</v>
      </c>
      <c r="J27">
        <f t="shared" si="9"/>
        <v>60756.124098809385</v>
      </c>
      <c r="K27">
        <f t="shared" si="2"/>
        <v>58015.03108200998</v>
      </c>
      <c r="L27">
        <f t="shared" si="3"/>
        <v>18043.3584474549</v>
      </c>
      <c r="N27">
        <f t="shared" si="4"/>
        <v>45240.17723379034</v>
      </c>
    </row>
    <row r="28" spans="1:14" ht="12.75">
      <c r="A28">
        <v>19</v>
      </c>
      <c r="B28">
        <f t="shared" si="5"/>
        <v>3331.339036161269</v>
      </c>
      <c r="C28">
        <f t="shared" si="6"/>
        <v>59.1612295985255</v>
      </c>
      <c r="D28">
        <v>-0.3373607465190713</v>
      </c>
      <c r="E28">
        <v>178.7360394935225</v>
      </c>
      <c r="F28">
        <f t="shared" si="0"/>
        <v>7595.686628263639</v>
      </c>
      <c r="G28">
        <f t="shared" si="7"/>
        <v>-41525.46420327108</v>
      </c>
      <c r="H28">
        <f t="shared" si="8"/>
        <v>-129448.29886265218</v>
      </c>
      <c r="I28">
        <f t="shared" si="1"/>
        <v>3415.669518085019</v>
      </c>
      <c r="J28">
        <f t="shared" si="9"/>
        <v>61480.59782267045</v>
      </c>
      <c r="K28">
        <f t="shared" si="2"/>
        <v>58015.03108200998</v>
      </c>
      <c r="L28">
        <f t="shared" si="3"/>
        <v>20349.94047132242</v>
      </c>
      <c r="N28">
        <f t="shared" si="4"/>
        <v>45207.106751904714</v>
      </c>
    </row>
    <row r="29" spans="1:8" ht="12.75">
      <c r="A29">
        <v>20</v>
      </c>
      <c r="B29">
        <f t="shared" si="5"/>
        <v>3500.0000000087684</v>
      </c>
      <c r="C29">
        <f t="shared" si="6"/>
        <v>-2.1389325866039144E-09</v>
      </c>
      <c r="D29">
        <v>0</v>
      </c>
      <c r="G29">
        <f t="shared" si="7"/>
        <v>-14332.825442873705</v>
      </c>
      <c r="H29">
        <f t="shared" si="8"/>
        <v>-44153.49077712418</v>
      </c>
    </row>
    <row r="30" spans="12:13" ht="12.75">
      <c r="L30" t="s">
        <v>12</v>
      </c>
      <c r="M30">
        <f>L9+L28</f>
        <v>40665.687999999995</v>
      </c>
    </row>
    <row r="31" spans="4:7" ht="12.75">
      <c r="D31" t="s">
        <v>8</v>
      </c>
      <c r="F31" t="s">
        <v>18</v>
      </c>
      <c r="G31">
        <f>SUM(F9:F28)+SUM(G9:G29)+SUM(H9:H29)</f>
        <v>-8390909.692297937</v>
      </c>
    </row>
    <row r="32" spans="12:13" ht="12.75">
      <c r="L32" t="s">
        <v>24</v>
      </c>
      <c r="M32" t="e">
        <f>wo*xe+w*L</f>
        <v>#REF!</v>
      </c>
    </row>
    <row r="34" spans="1:8" ht="12.75">
      <c r="A34" t="s">
        <v>14</v>
      </c>
      <c r="B34">
        <f>MAX(C9:C29)</f>
        <v>314.7263282908376</v>
      </c>
      <c r="D34" t="s">
        <v>19</v>
      </c>
      <c r="E34">
        <f>MAX(C9:C29)</f>
        <v>314.7263282908376</v>
      </c>
      <c r="F34" t="s">
        <v>33</v>
      </c>
      <c r="G34" t="s">
        <v>31</v>
      </c>
      <c r="H34">
        <f>MAX(J9:J29)</f>
        <v>61480.59782267045</v>
      </c>
    </row>
    <row r="35" spans="7:8" ht="12.75">
      <c r="G35" t="s">
        <v>40</v>
      </c>
      <c r="H35">
        <f>J2</f>
        <v>147200</v>
      </c>
    </row>
    <row r="36" spans="1:6" ht="13.5" thickBot="1">
      <c r="A36" t="s">
        <v>25</v>
      </c>
      <c r="B36">
        <f>SUM(E9:E28)</f>
        <v>3574.6588067265534</v>
      </c>
      <c r="D36" t="s">
        <v>34</v>
      </c>
      <c r="E36">
        <f>593-277</f>
        <v>316</v>
      </c>
      <c r="F36" t="s">
        <v>33</v>
      </c>
    </row>
    <row r="37" spans="1:8" ht="13.5" thickBot="1">
      <c r="A37" t="s">
        <v>26</v>
      </c>
      <c r="B37">
        <f>B36-Lo</f>
        <v>6.658806726553394</v>
      </c>
      <c r="G37" s="2" t="s">
        <v>41</v>
      </c>
      <c r="H37" s="3">
        <f>H35/H34</f>
        <v>2.3942512794779827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I37" sqref="I37"/>
    </sheetView>
  </sheetViews>
  <sheetFormatPr defaultColWidth="9.140625" defaultRowHeight="12.75"/>
  <cols>
    <col min="1" max="1" width="17.8515625" style="0" customWidth="1"/>
    <col min="2" max="2" width="12.421875" style="0" bestFit="1" customWidth="1"/>
    <col min="3" max="3" width="11.7109375" style="0" customWidth="1"/>
    <col min="6" max="6" width="11.00390625" style="0" bestFit="1" customWidth="1"/>
    <col min="7" max="9" width="13.28125" style="0" customWidth="1"/>
    <col min="10" max="10" width="10.00390625" style="0" bestFit="1" customWidth="1"/>
    <col min="12" max="12" width="10.7109375" style="0" customWidth="1"/>
    <col min="14" max="14" width="10.00390625" style="0" bestFit="1" customWidth="1"/>
  </cols>
  <sheetData>
    <row r="1" spans="1:11" ht="12.75">
      <c r="A1" t="s">
        <v>28</v>
      </c>
      <c r="B1">
        <v>3568</v>
      </c>
      <c r="C1" t="s">
        <v>33</v>
      </c>
      <c r="E1" t="s">
        <v>27</v>
      </c>
      <c r="G1" s="1">
        <v>30000</v>
      </c>
      <c r="H1" t="s">
        <v>35</v>
      </c>
      <c r="I1" t="s">
        <v>37</v>
      </c>
      <c r="J1">
        <v>184</v>
      </c>
      <c r="K1" t="s">
        <v>35</v>
      </c>
    </row>
    <row r="2" spans="1:11" ht="12.75">
      <c r="A2" t="s">
        <v>0</v>
      </c>
      <c r="B2">
        <v>2.716</v>
      </c>
      <c r="C2" t="s">
        <v>32</v>
      </c>
      <c r="E2" t="s">
        <v>20</v>
      </c>
      <c r="G2">
        <f>800</f>
        <v>800</v>
      </c>
      <c r="H2" t="s">
        <v>36</v>
      </c>
      <c r="I2" t="s">
        <v>38</v>
      </c>
      <c r="J2">
        <f>A*J1</f>
        <v>147200</v>
      </c>
      <c r="K2" t="s">
        <v>39</v>
      </c>
    </row>
    <row r="3" spans="1:3" ht="12.75">
      <c r="A3" t="s">
        <v>22</v>
      </c>
      <c r="B3">
        <f>(46+27.6)/4</f>
        <v>18.4</v>
      </c>
      <c r="C3" t="s">
        <v>32</v>
      </c>
    </row>
    <row r="4" spans="1:4" ht="12.75">
      <c r="A4" t="s">
        <v>1</v>
      </c>
      <c r="B4">
        <v>3500</v>
      </c>
      <c r="C4" t="s">
        <v>2</v>
      </c>
      <c r="D4">
        <v>0</v>
      </c>
    </row>
    <row r="6" spans="1:6" ht="12.75">
      <c r="A6" t="s">
        <v>3</v>
      </c>
      <c r="B6">
        <v>20</v>
      </c>
      <c r="C6" t="s">
        <v>29</v>
      </c>
      <c r="D6">
        <f>Lo/N</f>
        <v>178.4</v>
      </c>
      <c r="E6" t="s">
        <v>21</v>
      </c>
      <c r="F6">
        <f>E*A/so</f>
        <v>134529.14798206277</v>
      </c>
    </row>
    <row r="7" ht="12.75">
      <c r="I7" t="s">
        <v>13</v>
      </c>
    </row>
    <row r="8" spans="1:14" ht="12.75">
      <c r="A8" t="s">
        <v>4</v>
      </c>
      <c r="B8" t="s">
        <v>5</v>
      </c>
      <c r="C8" t="s">
        <v>6</v>
      </c>
      <c r="D8" t="s">
        <v>7</v>
      </c>
      <c r="E8" t="s">
        <v>15</v>
      </c>
      <c r="F8" t="s">
        <v>17</v>
      </c>
      <c r="G8" t="s">
        <v>16</v>
      </c>
      <c r="H8" t="s">
        <v>23</v>
      </c>
      <c r="J8" t="s">
        <v>9</v>
      </c>
      <c r="K8" t="s">
        <v>10</v>
      </c>
      <c r="L8" t="s">
        <v>11</v>
      </c>
      <c r="N8" t="s">
        <v>30</v>
      </c>
    </row>
    <row r="9" spans="1:14" ht="12.75">
      <c r="A9">
        <v>0</v>
      </c>
      <c r="B9">
        <v>0</v>
      </c>
      <c r="C9">
        <v>0</v>
      </c>
      <c r="D9">
        <v>0.35489381446435037</v>
      </c>
      <c r="E9">
        <v>179.15369171406923</v>
      </c>
      <c r="F9">
        <f aca="true" t="shared" si="0" ref="F9:F28">(k/2)*(so-E9)^2</f>
        <v>38209.72196344832</v>
      </c>
      <c r="G9">
        <f>-C9*w*E9</f>
        <v>0</v>
      </c>
      <c r="H9">
        <f>wo*C9</f>
        <v>0</v>
      </c>
      <c r="I9">
        <f aca="true" t="shared" si="1" ref="I9:I28">(B9+B10)/2</f>
        <v>83.99472072183252</v>
      </c>
      <c r="J9">
        <f>(wo*xe+w*Lo)/(SIN(D9)-COS(D9)*TAN(D28))</f>
        <v>106550.65913137946</v>
      </c>
      <c r="K9">
        <f aca="true" t="shared" si="2" ref="K9:K28">J9*COS(D9)</f>
        <v>99910.78353831722</v>
      </c>
      <c r="L9">
        <f aca="true" t="shared" si="3" ref="L9:L28">ABS(J9*SIN(D9))</f>
        <v>37025.37365227984</v>
      </c>
      <c r="N9">
        <f aca="true" t="shared" si="4" ref="N9:N28">k*(E9-so)</f>
        <v>101393.5041348726</v>
      </c>
    </row>
    <row r="10" spans="1:14" ht="12.75">
      <c r="A10">
        <v>1</v>
      </c>
      <c r="B10">
        <f aca="true" t="shared" si="5" ref="B10:B29">B9+E9*COS(D9)</f>
        <v>167.98944144366504</v>
      </c>
      <c r="C10">
        <f aca="true" t="shared" si="6" ref="C10:C29">C9+E9*SIN(D9)</f>
        <v>62.25425943841261</v>
      </c>
      <c r="D10">
        <v>0.31820171463300173</v>
      </c>
      <c r="E10">
        <v>179.15249633128116</v>
      </c>
      <c r="F10">
        <f t="shared" si="0"/>
        <v>38088.61403082453</v>
      </c>
      <c r="G10">
        <f aca="true" t="shared" si="7" ref="G10:G29">-so*w*(C10+C9)/2</f>
        <v>-15082.165122217797</v>
      </c>
      <c r="H10">
        <f aca="true" t="shared" si="8" ref="H10:H29">-(B10-B9)*wo*(C10+C9)/2</f>
        <v>-96214.1360890411</v>
      </c>
      <c r="I10">
        <f t="shared" si="1"/>
        <v>253.06892284130427</v>
      </c>
      <c r="J10">
        <f aca="true" t="shared" si="9" ref="J10:J28">J9*COS(D9)/COS(D10)</f>
        <v>105191.43974119516</v>
      </c>
      <c r="K10">
        <f t="shared" si="2"/>
        <v>99910.78353831722</v>
      </c>
      <c r="L10">
        <f t="shared" si="3"/>
        <v>32910.09461525468</v>
      </c>
      <c r="N10">
        <f t="shared" si="4"/>
        <v>101232.69030688127</v>
      </c>
    </row>
    <row r="11" spans="1:14" ht="12.75">
      <c r="A11">
        <v>2</v>
      </c>
      <c r="B11">
        <f t="shared" si="5"/>
        <v>338.1484042389435</v>
      </c>
      <c r="C11">
        <f t="shared" si="6"/>
        <v>118.3037404544288</v>
      </c>
      <c r="D11">
        <v>0.2810335322763607</v>
      </c>
      <c r="E11">
        <v>179.15143181198061</v>
      </c>
      <c r="F11">
        <f t="shared" si="0"/>
        <v>37980.92610245256</v>
      </c>
      <c r="G11">
        <f t="shared" si="7"/>
        <v>-43743.281071638994</v>
      </c>
      <c r="H11">
        <f t="shared" si="8"/>
        <v>-282656.7702726342</v>
      </c>
      <c r="I11">
        <f t="shared" si="1"/>
        <v>424.2100023384682</v>
      </c>
      <c r="J11">
        <f t="shared" si="9"/>
        <v>103990.39943255042</v>
      </c>
      <c r="K11">
        <f t="shared" si="2"/>
        <v>99910.78353831722</v>
      </c>
      <c r="L11">
        <f t="shared" si="3"/>
        <v>28841.61068492712</v>
      </c>
      <c r="N11">
        <f t="shared" si="4"/>
        <v>101089.48143236894</v>
      </c>
    </row>
    <row r="12" spans="1:14" ht="12.75">
      <c r="A12">
        <v>3</v>
      </c>
      <c r="B12">
        <f t="shared" si="5"/>
        <v>510.2716004379929</v>
      </c>
      <c r="C12">
        <f t="shared" si="6"/>
        <v>167.99117196891018</v>
      </c>
      <c r="D12">
        <v>0.2437485664991944</v>
      </c>
      <c r="E12">
        <v>179.15049428868386</v>
      </c>
      <c r="F12">
        <f t="shared" si="0"/>
        <v>37886.21148074551</v>
      </c>
      <c r="G12">
        <f t="shared" si="7"/>
        <v>-69359.86680704755</v>
      </c>
      <c r="H12">
        <f t="shared" si="8"/>
        <v>-453357.55751285475</v>
      </c>
      <c r="I12">
        <f t="shared" si="1"/>
        <v>597.1990129817809</v>
      </c>
      <c r="J12">
        <f t="shared" si="9"/>
        <v>102954.09544511007</v>
      </c>
      <c r="K12">
        <f t="shared" si="2"/>
        <v>99910.78353831722</v>
      </c>
      <c r="L12">
        <f t="shared" si="3"/>
        <v>24847.154800506934</v>
      </c>
      <c r="N12">
        <f t="shared" si="4"/>
        <v>100963.35722204307</v>
      </c>
    </row>
    <row r="13" spans="1:14" ht="12.75">
      <c r="A13">
        <v>4</v>
      </c>
      <c r="B13">
        <f t="shared" si="5"/>
        <v>684.1264255255691</v>
      </c>
      <c r="C13">
        <f t="shared" si="6"/>
        <v>211.2277236080969</v>
      </c>
      <c r="D13">
        <v>0.2064080760925144</v>
      </c>
      <c r="E13">
        <v>179.14968875326593</v>
      </c>
      <c r="F13">
        <f t="shared" si="0"/>
        <v>37804.925567719</v>
      </c>
      <c r="G13">
        <f t="shared" si="7"/>
        <v>-91872.30001853389</v>
      </c>
      <c r="H13">
        <f t="shared" si="8"/>
        <v>-606547.1197960882</v>
      </c>
      <c r="I13">
        <f t="shared" si="1"/>
        <v>771.7998983591327</v>
      </c>
      <c r="J13">
        <f t="shared" si="9"/>
        <v>102077.54521121387</v>
      </c>
      <c r="K13">
        <f t="shared" si="2"/>
        <v>99910.78353831722</v>
      </c>
      <c r="L13">
        <f t="shared" si="3"/>
        <v>20920.338647042336</v>
      </c>
      <c r="N13">
        <f t="shared" si="4"/>
        <v>100854.98922860026</v>
      </c>
    </row>
    <row r="14" spans="1:14" ht="12.75">
      <c r="A14">
        <v>5</v>
      </c>
      <c r="B14">
        <f t="shared" si="5"/>
        <v>859.4733711926964</v>
      </c>
      <c r="C14">
        <f t="shared" si="6"/>
        <v>247.94365510385967</v>
      </c>
      <c r="D14">
        <v>0.16897499565607413</v>
      </c>
      <c r="E14">
        <v>179.14901523232328</v>
      </c>
      <c r="F14">
        <f t="shared" si="0"/>
        <v>37737.02813356193</v>
      </c>
      <c r="G14">
        <f t="shared" si="7"/>
        <v>-111242.16424068534</v>
      </c>
      <c r="H14">
        <f t="shared" si="8"/>
        <v>-740731.5489131296</v>
      </c>
      <c r="I14">
        <f t="shared" si="1"/>
        <v>947.7721283752805</v>
      </c>
      <c r="J14">
        <f t="shared" si="9"/>
        <v>101354.30584242531</v>
      </c>
      <c r="K14">
        <f t="shared" si="2"/>
        <v>99910.78353831722</v>
      </c>
      <c r="L14">
        <f t="shared" si="3"/>
        <v>17044.959535282265</v>
      </c>
      <c r="N14">
        <f t="shared" si="4"/>
        <v>100764.38103003679</v>
      </c>
    </row>
    <row r="15" spans="1:14" ht="12.75">
      <c r="A15">
        <v>6</v>
      </c>
      <c r="B15">
        <f t="shared" si="5"/>
        <v>1036.0708855578646</v>
      </c>
      <c r="C15">
        <f t="shared" si="6"/>
        <v>278.0715089729198</v>
      </c>
      <c r="D15">
        <v>0.1314939039196299</v>
      </c>
      <c r="E15">
        <v>179.14847394051154</v>
      </c>
      <c r="F15">
        <f t="shared" si="0"/>
        <v>37682.50490750167</v>
      </c>
      <c r="G15">
        <f t="shared" si="7"/>
        <v>-127436.22095842197</v>
      </c>
      <c r="H15">
        <f t="shared" si="8"/>
        <v>-854615.3285479773</v>
      </c>
      <c r="I15">
        <f t="shared" si="1"/>
        <v>1124.8718394602697</v>
      </c>
      <c r="J15">
        <f t="shared" si="9"/>
        <v>100780.81154827298</v>
      </c>
      <c r="K15">
        <f t="shared" si="2"/>
        <v>99910.78353831722</v>
      </c>
      <c r="L15">
        <f t="shared" si="3"/>
        <v>13213.905898258578</v>
      </c>
      <c r="N15">
        <f t="shared" si="4"/>
        <v>100691.56150379335</v>
      </c>
    </row>
    <row r="16" spans="1:14" ht="12.75">
      <c r="A16">
        <v>7</v>
      </c>
      <c r="B16">
        <f t="shared" si="5"/>
        <v>1213.6727933626746</v>
      </c>
      <c r="C16">
        <f t="shared" si="6"/>
        <v>301.56061409222775</v>
      </c>
      <c r="D16">
        <v>0.09394872318283208</v>
      </c>
      <c r="E16">
        <v>179.14806754981055</v>
      </c>
      <c r="F16">
        <f t="shared" si="0"/>
        <v>37641.5959022118</v>
      </c>
      <c r="G16">
        <f t="shared" si="7"/>
        <v>-140425.85148504874</v>
      </c>
      <c r="H16">
        <f t="shared" si="8"/>
        <v>-947082.6921081682</v>
      </c>
      <c r="I16">
        <f t="shared" si="1"/>
        <v>1302.8518113616174</v>
      </c>
      <c r="J16">
        <f t="shared" si="9"/>
        <v>100353.33534671305</v>
      </c>
      <c r="K16">
        <f t="shared" si="2"/>
        <v>99910.78353831722</v>
      </c>
      <c r="L16">
        <f t="shared" si="3"/>
        <v>9414.204585060168</v>
      </c>
      <c r="N16">
        <f t="shared" si="4"/>
        <v>100636.8901090416</v>
      </c>
    </row>
    <row r="17" spans="1:14" ht="12.75">
      <c r="A17">
        <v>8</v>
      </c>
      <c r="B17">
        <f t="shared" si="5"/>
        <v>1392.0308293605603</v>
      </c>
      <c r="C17">
        <f t="shared" si="6"/>
        <v>318.36659819933533</v>
      </c>
      <c r="D17">
        <v>0.056387128489156224</v>
      </c>
      <c r="E17">
        <v>179.147796236429</v>
      </c>
      <c r="F17">
        <f t="shared" si="0"/>
        <v>37614.29671865728</v>
      </c>
      <c r="G17">
        <f t="shared" si="7"/>
        <v>-150188.0299256826</v>
      </c>
      <c r="H17">
        <f t="shared" si="8"/>
        <v>-1017234.8004229015</v>
      </c>
      <c r="I17">
        <f t="shared" si="1"/>
        <v>1481.4623647306266</v>
      </c>
      <c r="J17">
        <f t="shared" si="9"/>
        <v>100069.82781341897</v>
      </c>
      <c r="K17">
        <f t="shared" si="2"/>
        <v>99910.78353831722</v>
      </c>
      <c r="L17">
        <f t="shared" si="3"/>
        <v>5639.66057195304</v>
      </c>
      <c r="N17">
        <f t="shared" si="4"/>
        <v>100600.39055098608</v>
      </c>
    </row>
    <row r="18" spans="1:14" ht="12.75">
      <c r="A18">
        <v>9</v>
      </c>
      <c r="B18">
        <f t="shared" si="5"/>
        <v>1570.8939001006927</v>
      </c>
      <c r="C18">
        <f t="shared" si="6"/>
        <v>328.4628758193052</v>
      </c>
      <c r="D18">
        <v>0.01879731948569635</v>
      </c>
      <c r="E18">
        <v>179.1476616877884</v>
      </c>
      <c r="F18">
        <f t="shared" si="0"/>
        <v>37600.76229057781</v>
      </c>
      <c r="G18">
        <f t="shared" si="7"/>
        <v>-156705.5655479688</v>
      </c>
      <c r="H18">
        <f t="shared" si="8"/>
        <v>-1064383.934907428</v>
      </c>
      <c r="I18">
        <f t="shared" si="1"/>
        <v>1660.4519064367923</v>
      </c>
      <c r="J18">
        <f t="shared" si="9"/>
        <v>99928.43733653762</v>
      </c>
      <c r="K18">
        <f t="shared" si="2"/>
        <v>99910.78353831722</v>
      </c>
      <c r="L18">
        <f t="shared" si="3"/>
        <v>1878.276146323357</v>
      </c>
      <c r="N18">
        <f t="shared" si="4"/>
        <v>100582.28983700369</v>
      </c>
    </row>
    <row r="19" spans="1:14" ht="12.75">
      <c r="A19">
        <v>10</v>
      </c>
      <c r="B19">
        <f t="shared" si="5"/>
        <v>1750.0099127728918</v>
      </c>
      <c r="C19">
        <f t="shared" si="6"/>
        <v>331.83017334327786</v>
      </c>
      <c r="D19">
        <v>-0.018462489784152544</v>
      </c>
      <c r="E19">
        <v>179.1476618394448</v>
      </c>
      <c r="F19">
        <f t="shared" si="0"/>
        <v>37600.77754452675</v>
      </c>
      <c r="G19">
        <f t="shared" si="7"/>
        <v>-159967.34820008138</v>
      </c>
      <c r="H19">
        <f t="shared" si="8"/>
        <v>-1088075.3350827657</v>
      </c>
      <c r="I19">
        <f t="shared" si="1"/>
        <v>1839.5684779001929</v>
      </c>
      <c r="J19">
        <f t="shared" si="9"/>
        <v>99927.81392820766</v>
      </c>
      <c r="K19">
        <f t="shared" si="2"/>
        <v>99910.78353831722</v>
      </c>
      <c r="L19">
        <f t="shared" si="3"/>
        <v>1844.8114348115864</v>
      </c>
      <c r="N19">
        <f t="shared" si="4"/>
        <v>100582.31023920918</v>
      </c>
    </row>
    <row r="20" spans="1:14" ht="12.75">
      <c r="A20">
        <v>11</v>
      </c>
      <c r="B20">
        <f t="shared" si="5"/>
        <v>1929.127043027494</v>
      </c>
      <c r="C20">
        <f t="shared" si="6"/>
        <v>328.522849365205</v>
      </c>
      <c r="D20">
        <v>-0.05640310443038015</v>
      </c>
      <c r="E20">
        <v>179.14779704527123</v>
      </c>
      <c r="F20">
        <f t="shared" si="0"/>
        <v>37614.37808854557</v>
      </c>
      <c r="G20">
        <f t="shared" si="7"/>
        <v>-159981.87782312057</v>
      </c>
      <c r="H20">
        <f t="shared" si="8"/>
        <v>-1088180.9531189597</v>
      </c>
      <c r="I20">
        <f t="shared" si="1"/>
        <v>2018.5584981411564</v>
      </c>
      <c r="J20">
        <f t="shared" si="9"/>
        <v>100069.91806858171</v>
      </c>
      <c r="K20">
        <f t="shared" si="2"/>
        <v>99910.78353831722</v>
      </c>
      <c r="L20">
        <f t="shared" si="3"/>
        <v>5641.261828011339</v>
      </c>
      <c r="N20">
        <f t="shared" si="4"/>
        <v>100600.4993638422</v>
      </c>
    </row>
    <row r="21" spans="1:14" ht="12.75">
      <c r="A21">
        <v>12</v>
      </c>
      <c r="B21">
        <f t="shared" si="5"/>
        <v>2107.989953254819</v>
      </c>
      <c r="C21">
        <f t="shared" si="6"/>
        <v>318.4237141950213</v>
      </c>
      <c r="D21">
        <v>-0.09395622349277477</v>
      </c>
      <c r="E21">
        <v>179.14806830375275</v>
      </c>
      <c r="F21">
        <f t="shared" si="0"/>
        <v>37641.671776648654</v>
      </c>
      <c r="G21">
        <f t="shared" si="7"/>
        <v>-156733.93250335808</v>
      </c>
      <c r="H21">
        <f t="shared" si="8"/>
        <v>-1064575.6551035312</v>
      </c>
      <c r="I21">
        <f t="shared" si="1"/>
        <v>2197.1689086015167</v>
      </c>
      <c r="J21">
        <f t="shared" si="9"/>
        <v>100353.40627180054</v>
      </c>
      <c r="K21">
        <f t="shared" si="2"/>
        <v>99910.78353831722</v>
      </c>
      <c r="L21">
        <f t="shared" si="3"/>
        <v>9414.96060069172</v>
      </c>
      <c r="N21">
        <f t="shared" si="4"/>
        <v>100636.99153624379</v>
      </c>
    </row>
    <row r="22" spans="1:14" ht="12.75">
      <c r="A22">
        <v>13</v>
      </c>
      <c r="B22">
        <f t="shared" si="5"/>
        <v>2286.347863948215</v>
      </c>
      <c r="C22">
        <f t="shared" si="6"/>
        <v>301.61639227710236</v>
      </c>
      <c r="D22">
        <v>-0.13149781998412904</v>
      </c>
      <c r="E22">
        <v>179.14847321244616</v>
      </c>
      <c r="F22">
        <f t="shared" si="0"/>
        <v>37682.43159749801</v>
      </c>
      <c r="G22">
        <f t="shared" si="7"/>
        <v>-150215.3804827033</v>
      </c>
      <c r="H22">
        <f t="shared" si="8"/>
        <v>-1017419.3330156057</v>
      </c>
      <c r="I22">
        <f t="shared" si="1"/>
        <v>2375.1487714966242</v>
      </c>
      <c r="J22">
        <f t="shared" si="9"/>
        <v>100780.8637461917</v>
      </c>
      <c r="K22">
        <f t="shared" si="2"/>
        <v>99910.78353831722</v>
      </c>
      <c r="L22">
        <f t="shared" si="3"/>
        <v>13214.303999377938</v>
      </c>
      <c r="N22">
        <f t="shared" si="4"/>
        <v>100691.463557779</v>
      </c>
    </row>
    <row r="23" spans="1:14" ht="12.75">
      <c r="A23">
        <v>14</v>
      </c>
      <c r="B23">
        <f t="shared" si="5"/>
        <v>2463.949679045033</v>
      </c>
      <c r="C23">
        <f t="shared" si="6"/>
        <v>278.12659175291174</v>
      </c>
      <c r="D23">
        <v>-0.16897623127339115</v>
      </c>
      <c r="E23">
        <v>179.14901426048255</v>
      </c>
      <c r="F23">
        <f t="shared" si="0"/>
        <v>37736.930206695426</v>
      </c>
      <c r="G23">
        <f t="shared" si="7"/>
        <v>-140452.70946059626</v>
      </c>
      <c r="H23">
        <f t="shared" si="8"/>
        <v>-947263.3375310596</v>
      </c>
      <c r="I23">
        <f t="shared" si="1"/>
        <v>2552.2484171353008</v>
      </c>
      <c r="J23">
        <f t="shared" si="9"/>
        <v>101354.32720784676</v>
      </c>
      <c r="K23">
        <f t="shared" si="2"/>
        <v>99910.78353831722</v>
      </c>
      <c r="L23">
        <f t="shared" si="3"/>
        <v>17045.08657985591</v>
      </c>
      <c r="N23">
        <f t="shared" si="4"/>
        <v>100764.25028913085</v>
      </c>
    </row>
    <row r="24" spans="1:14" ht="12.75">
      <c r="A24">
        <v>15</v>
      </c>
      <c r="B24">
        <f t="shared" si="5"/>
        <v>2640.547155225569</v>
      </c>
      <c r="C24">
        <f t="shared" si="6"/>
        <v>247.99851984036533</v>
      </c>
      <c r="D24">
        <v>-0.20640885169544138</v>
      </c>
      <c r="E24">
        <v>179.14968733692038</v>
      </c>
      <c r="F24">
        <f t="shared" si="0"/>
        <v>37804.78272233827</v>
      </c>
      <c r="G24">
        <f t="shared" si="7"/>
        <v>-127462.8576353908</v>
      </c>
      <c r="H24">
        <f t="shared" si="8"/>
        <v>-854793.7751356954</v>
      </c>
      <c r="I24">
        <f t="shared" si="1"/>
        <v>2728.220613127474</v>
      </c>
      <c r="J24">
        <f t="shared" si="9"/>
        <v>102077.56178901315</v>
      </c>
      <c r="K24">
        <f t="shared" si="2"/>
        <v>99910.78353831722</v>
      </c>
      <c r="L24">
        <f t="shared" si="3"/>
        <v>20920.41953569097</v>
      </c>
      <c r="N24">
        <f t="shared" si="4"/>
        <v>100854.79868883955</v>
      </c>
    </row>
    <row r="25" spans="1:14" ht="12.75">
      <c r="A25">
        <v>16</v>
      </c>
      <c r="B25">
        <f t="shared" si="5"/>
        <v>2815.8940710293787</v>
      </c>
      <c r="C25">
        <f t="shared" si="6"/>
        <v>211.2824526352841</v>
      </c>
      <c r="D25">
        <v>-0.243756855871026</v>
      </c>
      <c r="E25">
        <v>179.1504944064484</v>
      </c>
      <c r="F25">
        <f t="shared" si="0"/>
        <v>37886.22337064862</v>
      </c>
      <c r="G25">
        <f t="shared" si="7"/>
        <v>-111268.71521495267</v>
      </c>
      <c r="H25">
        <f t="shared" si="8"/>
        <v>-740908.2185010116</v>
      </c>
      <c r="I25">
        <f t="shared" si="1"/>
        <v>2902.8213044253953</v>
      </c>
      <c r="J25">
        <f t="shared" si="9"/>
        <v>102954.3076902147</v>
      </c>
      <c r="K25">
        <f t="shared" si="2"/>
        <v>99910.78353831722</v>
      </c>
      <c r="L25">
        <f t="shared" si="3"/>
        <v>24848.03422266886</v>
      </c>
      <c r="N25">
        <f t="shared" si="4"/>
        <v>100963.37306480478</v>
      </c>
    </row>
    <row r="26" spans="1:14" ht="12.75">
      <c r="A26">
        <v>17</v>
      </c>
      <c r="B26">
        <f t="shared" si="5"/>
        <v>2989.7485378214114</v>
      </c>
      <c r="C26">
        <f t="shared" si="6"/>
        <v>168.0444598218705</v>
      </c>
      <c r="D26">
        <v>-0.2810143165116239</v>
      </c>
      <c r="E26">
        <v>179.15142932188397</v>
      </c>
      <c r="F26">
        <f t="shared" si="0"/>
        <v>37980.67438029079</v>
      </c>
      <c r="G26">
        <f t="shared" si="7"/>
        <v>-91898.46896563997</v>
      </c>
      <c r="H26">
        <f t="shared" si="8"/>
        <v>-606718.6385669818</v>
      </c>
      <c r="I26">
        <f t="shared" si="1"/>
        <v>3075.8106120998336</v>
      </c>
      <c r="J26">
        <f t="shared" si="9"/>
        <v>103989.82261136746</v>
      </c>
      <c r="K26">
        <f t="shared" si="2"/>
        <v>99910.78353831722</v>
      </c>
      <c r="L26">
        <f t="shared" si="3"/>
        <v>28839.530847487662</v>
      </c>
      <c r="N26">
        <f t="shared" si="4"/>
        <v>101089.14644178849</v>
      </c>
    </row>
    <row r="27" spans="1:14" ht="12.75">
      <c r="A27">
        <v>18</v>
      </c>
      <c r="B27">
        <f t="shared" si="5"/>
        <v>3161.872686378256</v>
      </c>
      <c r="C27">
        <f t="shared" si="6"/>
        <v>118.36033648598556</v>
      </c>
      <c r="D27">
        <v>-0.31818738772648764</v>
      </c>
      <c r="E27">
        <v>179.15249531218097</v>
      </c>
      <c r="F27">
        <f t="shared" si="0"/>
        <v>38088.51086464128</v>
      </c>
      <c r="G27">
        <f t="shared" si="7"/>
        <v>-69386.48806807463</v>
      </c>
      <c r="H27">
        <f t="shared" si="8"/>
        <v>-453534.0717051927</v>
      </c>
      <c r="I27">
        <f t="shared" si="1"/>
        <v>3246.952568791028</v>
      </c>
      <c r="J27">
        <f t="shared" si="9"/>
        <v>105190.94333396545</v>
      </c>
      <c r="K27">
        <f t="shared" si="2"/>
        <v>99910.78353831722</v>
      </c>
      <c r="L27">
        <f t="shared" si="3"/>
        <v>32908.507900678975</v>
      </c>
      <c r="N27">
        <f t="shared" si="4"/>
        <v>101232.55320820207</v>
      </c>
    </row>
    <row r="28" spans="1:14" ht="12.75">
      <c r="A28">
        <v>19</v>
      </c>
      <c r="B28">
        <f t="shared" si="5"/>
        <v>3332.0324512038</v>
      </c>
      <c r="C28">
        <f t="shared" si="6"/>
        <v>62.313293646095005</v>
      </c>
      <c r="D28">
        <v>-0.3552452608827335</v>
      </c>
      <c r="E28">
        <v>179.1536881785713</v>
      </c>
      <c r="F28">
        <f t="shared" si="0"/>
        <v>38209.363487764225</v>
      </c>
      <c r="G28">
        <f t="shared" si="7"/>
        <v>-43771.2944859348</v>
      </c>
      <c r="H28">
        <f t="shared" si="8"/>
        <v>-282839.1182037602</v>
      </c>
      <c r="I28">
        <f t="shared" si="1"/>
        <v>3416.016225562944</v>
      </c>
      <c r="J28">
        <f t="shared" si="9"/>
        <v>106564.5447366796</v>
      </c>
      <c r="K28">
        <f t="shared" si="2"/>
        <v>99910.78353831722</v>
      </c>
      <c r="L28">
        <f t="shared" si="3"/>
        <v>37065.31434772015</v>
      </c>
      <c r="N28">
        <f t="shared" si="4"/>
        <v>101393.02850734719</v>
      </c>
    </row>
    <row r="29" spans="1:8" ht="12.75">
      <c r="A29">
        <v>20</v>
      </c>
      <c r="B29">
        <f t="shared" si="5"/>
        <v>3499.999999922088</v>
      </c>
      <c r="C29">
        <f t="shared" si="6"/>
        <v>-4.2512837694630434E-09</v>
      </c>
      <c r="D29">
        <v>0</v>
      </c>
      <c r="G29">
        <f t="shared" si="7"/>
        <v>-15096.467173387284</v>
      </c>
      <c r="H29">
        <f t="shared" si="8"/>
        <v>-96292.82290736705</v>
      </c>
    </row>
    <row r="30" spans="12:13" ht="12.75">
      <c r="L30" t="s">
        <v>12</v>
      </c>
      <c r="M30">
        <f>L9+L28</f>
        <v>74090.688</v>
      </c>
    </row>
    <row r="31" spans="4:7" ht="12.75">
      <c r="D31" t="s">
        <v>8</v>
      </c>
      <c r="F31" t="s">
        <v>18</v>
      </c>
      <c r="G31">
        <f>SUM(F9:F28)+SUM(G9:G29)+SUM(H9:H29)</f>
        <v>-15679223.801495342</v>
      </c>
    </row>
    <row r="32" spans="12:13" ht="12.75">
      <c r="L32" t="s">
        <v>24</v>
      </c>
      <c r="M32" t="e">
        <f>wo*xe+w*L</f>
        <v>#REF!</v>
      </c>
    </row>
    <row r="34" spans="1:8" ht="12.75">
      <c r="A34" t="s">
        <v>14</v>
      </c>
      <c r="B34">
        <f>MAX(C9:C29)</f>
        <v>331.83017334327786</v>
      </c>
      <c r="D34" t="s">
        <v>19</v>
      </c>
      <c r="E34">
        <f>MAX(C9:C29)</f>
        <v>331.83017334327786</v>
      </c>
      <c r="F34" t="s">
        <v>33</v>
      </c>
      <c r="G34" t="s">
        <v>42</v>
      </c>
      <c r="H34">
        <f>MAX(J9:J29)</f>
        <v>106564.5447366796</v>
      </c>
    </row>
    <row r="35" spans="7:8" ht="13.5" thickBot="1">
      <c r="G35" t="s">
        <v>40</v>
      </c>
      <c r="H35">
        <f>J2</f>
        <v>147200</v>
      </c>
    </row>
    <row r="36" spans="1:8" ht="13.5" thickBot="1">
      <c r="A36" t="s">
        <v>25</v>
      </c>
      <c r="B36">
        <f>SUM(E9:E28)</f>
        <v>3582.9976267635466</v>
      </c>
      <c r="D36" t="s">
        <v>34</v>
      </c>
      <c r="E36">
        <f>593-277</f>
        <v>316</v>
      </c>
      <c r="F36" t="s">
        <v>33</v>
      </c>
      <c r="G36" s="2" t="s">
        <v>43</v>
      </c>
      <c r="H36" s="3">
        <f>H35/H34</f>
        <v>1.3813224685915038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blume</cp:lastModifiedBy>
  <cp:lastPrinted>2005-02-21T21:53:19Z</cp:lastPrinted>
  <dcterms:created xsi:type="dcterms:W3CDTF">2005-02-21T21:03:18Z</dcterms:created>
  <dcterms:modified xsi:type="dcterms:W3CDTF">2005-04-18T17:21:29Z</dcterms:modified>
  <cp:category/>
  <cp:version/>
  <cp:contentType/>
  <cp:contentStatus/>
</cp:coreProperties>
</file>