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80" windowWidth="9480" windowHeight="6705" activeTab="0"/>
  </bookViews>
  <sheets>
    <sheet name="dead load" sheetId="1" r:id="rId1"/>
    <sheet name="load center" sheetId="2" r:id="rId2"/>
    <sheet name="load quarter" sheetId="3" r:id="rId3"/>
    <sheet name="load both " sheetId="4" r:id="rId4"/>
    <sheet name="geometry" sheetId="5" r:id="rId5"/>
    <sheet name="Moments" sheetId="6" r:id="rId6"/>
    <sheet name="Axial Force" sheetId="7" r:id="rId7"/>
  </sheets>
  <definedNames>
    <definedName name="a" localSheetId="0">'dead load'!$D$5</definedName>
    <definedName name="a" localSheetId="3">'load both '!$D$5</definedName>
    <definedName name="a" localSheetId="2">'load quarter'!$D$5</definedName>
    <definedName name="a">'load center'!$D$5</definedName>
    <definedName name="d" localSheetId="0">'dead load'!$B$3</definedName>
    <definedName name="d" localSheetId="3">'load both '!$B$3</definedName>
    <definedName name="d" localSheetId="2">'load quarter'!$B$3</definedName>
    <definedName name="d">'load center'!$B$3</definedName>
    <definedName name="dto" localSheetId="0">'dead load'!$N$5</definedName>
    <definedName name="dto" localSheetId="3">'load both '!$N$5</definedName>
    <definedName name="dto" localSheetId="2">'load quarter'!$N$5</definedName>
    <definedName name="dto">'load center'!$N$5</definedName>
    <definedName name="e" localSheetId="0">'dead load'!$D$3</definedName>
    <definedName name="e" localSheetId="3">'load both '!$D$3</definedName>
    <definedName name="e" localSheetId="2">'load quarter'!$D$3</definedName>
    <definedName name="e">'load center'!$D$3</definedName>
    <definedName name="h" localSheetId="0">'dead load'!$B$4</definedName>
    <definedName name="h" localSheetId="3">'load both '!$B$4</definedName>
    <definedName name="h" localSheetId="2">'load quarter'!$B$4</definedName>
    <definedName name="h">'load center'!$B$4</definedName>
    <definedName name="i" localSheetId="0">'dead load'!$D$4</definedName>
    <definedName name="i" localSheetId="3">'load both '!$D$4</definedName>
    <definedName name="i" localSheetId="2">'load quarter'!$D$4</definedName>
    <definedName name="i">'load center'!$D$4</definedName>
    <definedName name="ns" localSheetId="0">'dead load'!$K$4</definedName>
    <definedName name="ns" localSheetId="3">'load both '!$K$4</definedName>
    <definedName name="ns" localSheetId="2">'load quarter'!$K$4</definedName>
    <definedName name="ns">'load center'!$K$4</definedName>
    <definedName name="rr" localSheetId="0">'dead load'!$G$3</definedName>
    <definedName name="rr" localSheetId="3">'load both '!$G$3</definedName>
    <definedName name="rr" localSheetId="2">'load quarter'!$G$3</definedName>
    <definedName name="rr">'load center'!$G$3</definedName>
    <definedName name="s" localSheetId="0">'dead load'!$J$7</definedName>
    <definedName name="s" localSheetId="3">'load both '!$J$7</definedName>
    <definedName name="s" localSheetId="2">'load quarter'!$J$7</definedName>
    <definedName name="s">'load center'!$J$7</definedName>
    <definedName name="so" localSheetId="0">'dead load'!$K$5</definedName>
    <definedName name="so" localSheetId="3">'load both '!$K$5</definedName>
    <definedName name="so" localSheetId="2">'load quarter'!$K$5</definedName>
    <definedName name="so">'load center'!$K$5</definedName>
    <definedName name="solver_adj" localSheetId="0" hidden="1">'dead load'!$F$9:$F$29,'dead load'!$G$9:$G$28</definedName>
    <definedName name="solver_adj" localSheetId="3" hidden="1">'load both '!$F$9:$F$29,'load both '!$G$9:$G$28</definedName>
    <definedName name="solver_adj" localSheetId="1" hidden="1">'load center'!$F$9:$F$29,'load center'!$G$9:$G$28</definedName>
    <definedName name="solver_adj" localSheetId="2" hidden="1">'load quarter'!$F$9:$F$29,'load quarter'!$G$9:$G$28</definedName>
    <definedName name="solver_cvg" localSheetId="0" hidden="1">0.0001</definedName>
    <definedName name="solver_cvg" localSheetId="3" hidden="1">0.0001</definedName>
    <definedName name="solver_cvg" localSheetId="1" hidden="1">0.0001</definedName>
    <definedName name="solver_cvg" localSheetId="2" hidden="1">0.0001</definedName>
    <definedName name="solver_drv" localSheetId="0" hidden="1">2</definedName>
    <definedName name="solver_drv" localSheetId="3" hidden="1">2</definedName>
    <definedName name="solver_drv" localSheetId="1" hidden="1">2</definedName>
    <definedName name="solver_drv" localSheetId="2" hidden="1">2</definedName>
    <definedName name="solver_est" localSheetId="0" hidden="1">1</definedName>
    <definedName name="solver_est" localSheetId="3" hidden="1">1</definedName>
    <definedName name="solver_est" localSheetId="1" hidden="1">1</definedName>
    <definedName name="solver_est" localSheetId="2" hidden="1">1</definedName>
    <definedName name="solver_itr" localSheetId="0" hidden="1">100</definedName>
    <definedName name="solver_itr" localSheetId="3" hidden="1">100</definedName>
    <definedName name="solver_itr" localSheetId="1" hidden="1">100</definedName>
    <definedName name="solver_itr" localSheetId="2" hidden="1">100</definedName>
    <definedName name="solver_lhs1" localSheetId="0" hidden="1">'dead load'!$H$29</definedName>
    <definedName name="solver_lhs1" localSheetId="3" hidden="1">'load both '!$H$29</definedName>
    <definedName name="solver_lhs1" localSheetId="1" hidden="1">'load center'!$H$29</definedName>
    <definedName name="solver_lhs1" localSheetId="2" hidden="1">'load quarter'!$H$29</definedName>
    <definedName name="solver_lhs2" localSheetId="0" hidden="1">'dead load'!$I$29</definedName>
    <definedName name="solver_lhs2" localSheetId="3" hidden="1">'load both '!$I$29</definedName>
    <definedName name="solver_lhs2" localSheetId="1" hidden="1">'load center'!$I$29</definedName>
    <definedName name="solver_lhs2" localSheetId="2" hidden="1">'load quarter'!$I$29</definedName>
    <definedName name="solver_lhs3" localSheetId="0" hidden="1">'dead load'!$F$9:$F$29</definedName>
    <definedName name="solver_lhs3" localSheetId="3" hidden="1">'load both '!$F$9:$F$29</definedName>
    <definedName name="solver_lhs3" localSheetId="1" hidden="1">'load center'!$F$9:$F$29</definedName>
    <definedName name="solver_lhs3" localSheetId="2" hidden="1">'load quarter'!$F$9:$F$29</definedName>
    <definedName name="solver_lin" localSheetId="0" hidden="1">2</definedName>
    <definedName name="solver_lin" localSheetId="3" hidden="1">2</definedName>
    <definedName name="solver_lin" localSheetId="1" hidden="1">2</definedName>
    <definedName name="solver_lin" localSheetId="2" hidden="1">2</definedName>
    <definedName name="solver_neg" localSheetId="0" hidden="1">2</definedName>
    <definedName name="solver_neg" localSheetId="3" hidden="1">2</definedName>
    <definedName name="solver_neg" localSheetId="1" hidden="1">2</definedName>
    <definedName name="solver_neg" localSheetId="2" hidden="1">2</definedName>
    <definedName name="solver_num" localSheetId="0" hidden="1">3</definedName>
    <definedName name="solver_num" localSheetId="3" hidden="1">3</definedName>
    <definedName name="solver_num" localSheetId="1" hidden="1">3</definedName>
    <definedName name="solver_num" localSheetId="2" hidden="1">3</definedName>
    <definedName name="solver_nwt" localSheetId="0" hidden="1">1</definedName>
    <definedName name="solver_nwt" localSheetId="3" hidden="1">1</definedName>
    <definedName name="solver_nwt" localSheetId="1" hidden="1">1</definedName>
    <definedName name="solver_nwt" localSheetId="2" hidden="1">1</definedName>
    <definedName name="solver_opt" localSheetId="0" hidden="1">'dead load'!$B$32</definedName>
    <definedName name="solver_opt" localSheetId="3" hidden="1">'load both '!$B$32</definedName>
    <definedName name="solver_opt" localSheetId="1" hidden="1">'load center'!$B$32</definedName>
    <definedName name="solver_opt" localSheetId="2" hidden="1">'load quarter'!$B$32</definedName>
    <definedName name="solver_pre" localSheetId="0" hidden="1">0.000001</definedName>
    <definedName name="solver_pre" localSheetId="3" hidden="1">0.000001</definedName>
    <definedName name="solver_pre" localSheetId="1" hidden="1">0.000001</definedName>
    <definedName name="solver_pre" localSheetId="2" hidden="1">0.000001</definedName>
    <definedName name="solver_rel1" localSheetId="0" hidden="1">2</definedName>
    <definedName name="solver_rel1" localSheetId="3" hidden="1">2</definedName>
    <definedName name="solver_rel1" localSheetId="1" hidden="1">2</definedName>
    <definedName name="solver_rel1" localSheetId="2" hidden="1">2</definedName>
    <definedName name="solver_rel2" localSheetId="0" hidden="1">2</definedName>
    <definedName name="solver_rel2" localSheetId="3" hidden="1">2</definedName>
    <definedName name="solver_rel2" localSheetId="1" hidden="1">2</definedName>
    <definedName name="solver_rel2" localSheetId="2" hidden="1">2</definedName>
    <definedName name="solver_rel3" localSheetId="0" hidden="1">3</definedName>
    <definedName name="solver_rel3" localSheetId="3" hidden="1">3</definedName>
    <definedName name="solver_rel3" localSheetId="1" hidden="1">3</definedName>
    <definedName name="solver_rel3" localSheetId="2" hidden="1">3</definedName>
    <definedName name="solver_rhs1" localSheetId="0" hidden="1">'dead load'!$B$3</definedName>
    <definedName name="solver_rhs1" localSheetId="3" hidden="1">'load both '!$B$3</definedName>
    <definedName name="solver_rhs1" localSheetId="1" hidden="1">'load center'!$B$3</definedName>
    <definedName name="solver_rhs1" localSheetId="2" hidden="1">'load quarter'!$B$3</definedName>
    <definedName name="solver_rhs2" localSheetId="0" hidden="1">0</definedName>
    <definedName name="solver_rhs2" localSheetId="3" hidden="1">0</definedName>
    <definedName name="solver_rhs2" localSheetId="1" hidden="1">0</definedName>
    <definedName name="solver_rhs2" localSheetId="2" hidden="1">0</definedName>
    <definedName name="solver_rhs3" localSheetId="0" hidden="1">0.0001</definedName>
    <definedName name="solver_rhs3" localSheetId="3" hidden="1">0.0001</definedName>
    <definedName name="solver_rhs3" localSheetId="1" hidden="1">0.0001</definedName>
    <definedName name="solver_rhs3" localSheetId="2" hidden="1">0.0001</definedName>
    <definedName name="solver_scl" localSheetId="0" hidden="1">2</definedName>
    <definedName name="solver_scl" localSheetId="3" hidden="1">2</definedName>
    <definedName name="solver_scl" localSheetId="1" hidden="1">2</definedName>
    <definedName name="solver_scl" localSheetId="2" hidden="1">2</definedName>
    <definedName name="solver_sho" localSheetId="0" hidden="1">2</definedName>
    <definedName name="solver_sho" localSheetId="3" hidden="1">2</definedName>
    <definedName name="solver_sho" localSheetId="1" hidden="1">2</definedName>
    <definedName name="solver_sho" localSheetId="2" hidden="1">2</definedName>
    <definedName name="solver_tim" localSheetId="0" hidden="1">100</definedName>
    <definedName name="solver_tim" localSheetId="3" hidden="1">100</definedName>
    <definedName name="solver_tim" localSheetId="1" hidden="1">100</definedName>
    <definedName name="solver_tim" localSheetId="2" hidden="1">100</definedName>
    <definedName name="solver_tol" localSheetId="0" hidden="1">0.05</definedName>
    <definedName name="solver_tol" localSheetId="3" hidden="1">0.05</definedName>
    <definedName name="solver_tol" localSheetId="1" hidden="1">0.05</definedName>
    <definedName name="solver_tol" localSheetId="2" hidden="1">0.05</definedName>
    <definedName name="solver_typ" localSheetId="0" hidden="1">2</definedName>
    <definedName name="solver_typ" localSheetId="3" hidden="1">2</definedName>
    <definedName name="solver_typ" localSheetId="1" hidden="1">2</definedName>
    <definedName name="solver_typ" localSheetId="2" hidden="1">2</definedName>
    <definedName name="solver_val" localSheetId="0" hidden="1">0</definedName>
    <definedName name="solver_val" localSheetId="3" hidden="1">0</definedName>
    <definedName name="solver_val" localSheetId="1" hidden="1">0</definedName>
    <definedName name="solver_val" localSheetId="2" hidden="1">0</definedName>
    <definedName name="to" localSheetId="0">'dead load'!$N$4</definedName>
    <definedName name="to" localSheetId="3">'load both '!$N$4</definedName>
    <definedName name="to" localSheetId="2">'load quarter'!$N$4</definedName>
    <definedName name="to">'load center'!$N$4</definedName>
    <definedName name="w">#REF!</definedName>
    <definedName name="wo">#REF!</definedName>
    <definedName name="Ww">#REF!</definedName>
    <definedName name="xc" localSheetId="0">'dead load'!$G$4</definedName>
    <definedName name="xc" localSheetId="3">'load both '!$G$4</definedName>
    <definedName name="xc" localSheetId="2">'load quarter'!$G$4</definedName>
    <definedName name="xc">'load center'!$G$4</definedName>
    <definedName name="xe">#REF!</definedName>
    <definedName name="xw">#REF!</definedName>
    <definedName name="yc" localSheetId="0">'dead load'!$G$5</definedName>
    <definedName name="yc" localSheetId="3">'load both '!$G$5</definedName>
    <definedName name="yc" localSheetId="2">'load quarter'!$G$5</definedName>
    <definedName name="yc">'load center'!$G$5</definedName>
    <definedName name="ye">#REF!</definedName>
    <definedName name="yw">#REF!</definedName>
  </definedNames>
  <calcPr fullCalcOnLoad="1"/>
</workbook>
</file>

<file path=xl/sharedStrings.xml><?xml version="1.0" encoding="utf-8"?>
<sst xmlns="http://schemas.openxmlformats.org/spreadsheetml/2006/main" count="156" uniqueCount="38">
  <si>
    <t>x</t>
  </si>
  <si>
    <t>y</t>
  </si>
  <si>
    <t>theta</t>
  </si>
  <si>
    <t>center x</t>
  </si>
  <si>
    <t>center y</t>
  </si>
  <si>
    <t>radius</t>
  </si>
  <si>
    <t>numb of segs</t>
  </si>
  <si>
    <t>point</t>
  </si>
  <si>
    <t>anglespan</t>
  </si>
  <si>
    <t>dtheta0</t>
  </si>
  <si>
    <t>initial geometry</t>
  </si>
  <si>
    <t>force P</t>
  </si>
  <si>
    <t>deformed geometry</t>
  </si>
  <si>
    <t>curv k</t>
  </si>
  <si>
    <t>delta k</t>
  </si>
  <si>
    <t>PE bending</t>
  </si>
  <si>
    <t>section i</t>
  </si>
  <si>
    <t>area</t>
  </si>
  <si>
    <t>modulus</t>
  </si>
  <si>
    <t>PE stretch</t>
  </si>
  <si>
    <t>PE load</t>
  </si>
  <si>
    <t>Total energy</t>
  </si>
  <si>
    <t>X</t>
  </si>
  <si>
    <t>Y</t>
  </si>
  <si>
    <t>Arch Deflections: input data in yellow cells</t>
  </si>
  <si>
    <t>span d</t>
  </si>
  <si>
    <t>rise h</t>
  </si>
  <si>
    <t>Enter BC constrinats in the solver</t>
  </si>
  <si>
    <t>undef chorlength</t>
  </si>
  <si>
    <t>Moment</t>
  </si>
  <si>
    <t>S</t>
  </si>
  <si>
    <t>Axial Force</t>
  </si>
  <si>
    <t>pos for compression</t>
  </si>
  <si>
    <t>seg midpoint x</t>
  </si>
  <si>
    <t>kN</t>
  </si>
  <si>
    <t>kPa</t>
  </si>
  <si>
    <t>max moment</t>
  </si>
  <si>
    <t>kN-m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</si>
</sst>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11" fontId="0" fillId="2" borderId="1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undeformed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'dead load'!$C$9:$C$29</c:f>
              <c:numCache>
                <c:ptCount val="21"/>
                <c:pt idx="0">
                  <c:v>0</c:v>
                </c:pt>
                <c:pt idx="1">
                  <c:v>4.084177394208691</c:v>
                </c:pt>
                <c:pt idx="2">
                  <c:v>8.297764501097888</c:v>
                </c:pt>
                <c:pt idx="3">
                  <c:v>12.627434469045657</c:v>
                </c:pt>
                <c:pt idx="4">
                  <c:v>17.059493296297422</c:v>
                </c:pt>
                <c:pt idx="5">
                  <c:v>21.579923142739258</c:v>
                </c:pt>
                <c:pt idx="6">
                  <c:v>26.17442666591623</c:v>
                </c:pt>
                <c:pt idx="7">
                  <c:v>30.82847224106858</c:v>
                </c:pt>
                <c:pt idx="8">
                  <c:v>35.5273399221626</c:v>
                </c:pt>
                <c:pt idx="9">
                  <c:v>40.25616799854925</c:v>
                </c:pt>
                <c:pt idx="10">
                  <c:v>44.999999999999986</c:v>
                </c:pt>
                <c:pt idx="11">
                  <c:v>49.74383200145072</c:v>
                </c:pt>
                <c:pt idx="12">
                  <c:v>54.472660077837375</c:v>
                </c:pt>
                <c:pt idx="13">
                  <c:v>59.17152775893139</c:v>
                </c:pt>
                <c:pt idx="14">
                  <c:v>63.82557333408374</c:v>
                </c:pt>
                <c:pt idx="15">
                  <c:v>68.42007685726071</c:v>
                </c:pt>
                <c:pt idx="16">
                  <c:v>72.94050670370254</c:v>
                </c:pt>
                <c:pt idx="17">
                  <c:v>77.3725655309543</c:v>
                </c:pt>
                <c:pt idx="18">
                  <c:v>81.70223549890207</c:v>
                </c:pt>
                <c:pt idx="19">
                  <c:v>85.91582260579126</c:v>
                </c:pt>
                <c:pt idx="20">
                  <c:v>89.99999999999996</c:v>
                </c:pt>
              </c:numCache>
            </c:numRef>
          </c:xVal>
          <c:yVal>
            <c:numRef>
              <c:f>'dead load'!$D$9:$D$29</c:f>
              <c:numCache>
                <c:ptCount val="21"/>
                <c:pt idx="0">
                  <c:v>0</c:v>
                </c:pt>
                <c:pt idx="1">
                  <c:v>2.416866809856051</c:v>
                </c:pt>
                <c:pt idx="2">
                  <c:v>4.600312219433809</c:v>
                </c:pt>
                <c:pt idx="3">
                  <c:v>6.543430366279293</c:v>
                </c:pt>
                <c:pt idx="4">
                  <c:v>8.24007550175364</c:v>
                </c:pt>
                <c:pt idx="5">
                  <c:v>9.684881428979473</c:v>
                </c:pt>
                <c:pt idx="6">
                  <c:v>10.873278475199072</c:v>
                </c:pt>
                <c:pt idx="7">
                  <c:v>11.801507944863692</c:v>
                </c:pt>
                <c:pt idx="8">
                  <c:v>12.46663400774139</c:v>
                </c:pt>
                <c:pt idx="9">
                  <c:v>12.866552984443324</c:v>
                </c:pt>
                <c:pt idx="10">
                  <c:v>12.999999999999996</c:v>
                </c:pt>
                <c:pt idx="11">
                  <c:v>12.866552984443326</c:v>
                </c:pt>
                <c:pt idx="12">
                  <c:v>12.466634007741392</c:v>
                </c:pt>
                <c:pt idx="13">
                  <c:v>11.801507944863696</c:v>
                </c:pt>
                <c:pt idx="14">
                  <c:v>10.873278475199076</c:v>
                </c:pt>
                <c:pt idx="15">
                  <c:v>9.684881428979477</c:v>
                </c:pt>
                <c:pt idx="16">
                  <c:v>8.240075501753644</c:v>
                </c:pt>
                <c:pt idx="17">
                  <c:v>6.5434303662792965</c:v>
                </c:pt>
                <c:pt idx="18">
                  <c:v>4.600312219433812</c:v>
                </c:pt>
                <c:pt idx="19">
                  <c:v>2.416866809856055</c:v>
                </c:pt>
                <c:pt idx="20">
                  <c:v>3.9968028886505635E-15</c:v>
                </c:pt>
              </c:numCache>
            </c:numRef>
          </c:yVal>
          <c:smooth val="1"/>
        </c:ser>
        <c:ser>
          <c:idx val="1"/>
          <c:order val="1"/>
          <c:tx>
            <c:v>deformed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'dead load'!$H$9:$H$29</c:f>
              <c:numCache>
                <c:ptCount val="21"/>
                <c:pt idx="0">
                  <c:v>0</c:v>
                </c:pt>
                <c:pt idx="1">
                  <c:v>4.084492845156498</c:v>
                </c:pt>
                <c:pt idx="2">
                  <c:v>8.298341986907158</c:v>
                </c:pt>
                <c:pt idx="3">
                  <c:v>12.628227309990008</c:v>
                </c:pt>
                <c:pt idx="4">
                  <c:v>17.06043957385097</c:v>
                </c:pt>
                <c:pt idx="5">
                  <c:v>21.58094005167627</c:v>
                </c:pt>
                <c:pt idx="6">
                  <c:v>26.175415311543365</c:v>
                </c:pt>
                <c:pt idx="7">
                  <c:v>30.829328935465693</c:v>
                </c:pt>
                <c:pt idx="8">
                  <c:v>35.527970293397324</c:v>
                </c:pt>
                <c:pt idx="9">
                  <c:v>40.25650032290875</c:v>
                </c:pt>
                <c:pt idx="10">
                  <c:v>44.999995596861865</c:v>
                </c:pt>
                <c:pt idx="11">
                  <c:v>49.743490757402455</c:v>
                </c:pt>
                <c:pt idx="12">
                  <c:v>54.47202038700217</c:v>
                </c:pt>
                <c:pt idx="13">
                  <c:v>59.17066090324408</c:v>
                </c:pt>
                <c:pt idx="14">
                  <c:v>63.82457329223128</c:v>
                </c:pt>
                <c:pt idx="15">
                  <c:v>68.41904726350342</c:v>
                </c:pt>
                <c:pt idx="16">
                  <c:v>72.93954713652563</c:v>
                </c:pt>
                <c:pt idx="17">
                  <c:v>77.37176034635807</c:v>
                </c:pt>
                <c:pt idx="18">
                  <c:v>81.70164870558065</c:v>
                </c:pt>
                <c:pt idx="19">
                  <c:v>85.91550323183596</c:v>
                </c:pt>
                <c:pt idx="20">
                  <c:v>90.00000077804668</c:v>
                </c:pt>
              </c:numCache>
            </c:numRef>
          </c:xVal>
          <c:yVal>
            <c:numRef>
              <c:f>'dead load'!$I$9:$I$29</c:f>
              <c:numCache>
                <c:ptCount val="21"/>
                <c:pt idx="0">
                  <c:v>0</c:v>
                </c:pt>
                <c:pt idx="1">
                  <c:v>2.4155621364295117</c:v>
                </c:pt>
                <c:pt idx="2">
                  <c:v>4.597669488166941</c:v>
                </c:pt>
                <c:pt idx="3">
                  <c:v>6.539394278277529</c:v>
                </c:pt>
                <c:pt idx="4">
                  <c:v>8.234614464089358</c:v>
                </c:pt>
                <c:pt idx="5">
                  <c:v>9.678019187246166</c:v>
                </c:pt>
                <c:pt idx="6">
                  <c:v>10.86511359981518</c:v>
                </c:pt>
                <c:pt idx="7">
                  <c:v>11.79222074950972</c:v>
                </c:pt>
                <c:pt idx="8">
                  <c:v>12.456481140792109</c:v>
                </c:pt>
                <c:pt idx="9">
                  <c:v>12.855853282253507</c:v>
                </c:pt>
                <c:pt idx="10">
                  <c:v>12.989111973365269</c:v>
                </c:pt>
                <c:pt idx="11">
                  <c:v>12.855849142821425</c:v>
                </c:pt>
                <c:pt idx="12">
                  <c:v>12.456472193369066</c:v>
                </c:pt>
                <c:pt idx="13">
                  <c:v>11.79220580926233</c:v>
                </c:pt>
                <c:pt idx="14">
                  <c:v>10.865092454547547</c:v>
                </c:pt>
                <c:pt idx="15">
                  <c:v>9.677993083241676</c:v>
                </c:pt>
                <c:pt idx="16">
                  <c:v>8.234586525483856</c:v>
                </c:pt>
                <c:pt idx="17">
                  <c:v>6.539368892141188</c:v>
                </c:pt>
                <c:pt idx="18">
                  <c:v>4.597650952010114</c:v>
                </c:pt>
                <c:pt idx="19">
                  <c:v>2.4155540586644433</c:v>
                </c:pt>
                <c:pt idx="20">
                  <c:v>-9.910828469017474E-08</c:v>
                </c:pt>
              </c:numCache>
            </c:numRef>
          </c:yVal>
          <c:smooth val="1"/>
        </c:ser>
        <c:axId val="29421924"/>
        <c:axId val="63470725"/>
      </c:scatterChart>
      <c:valAx>
        <c:axId val="29421924"/>
        <c:scaling>
          <c:orientation val="minMax"/>
          <c:max val="90"/>
        </c:scaling>
        <c:axPos val="b"/>
        <c:delete val="0"/>
        <c:numFmt formatCode="General" sourceLinked="1"/>
        <c:majorTickMark val="out"/>
        <c:minorTickMark val="none"/>
        <c:tickLblPos val="nextTo"/>
        <c:crossAx val="63470725"/>
        <c:crosses val="autoZero"/>
        <c:crossBetween val="midCat"/>
        <c:dispUnits/>
      </c:valAx>
      <c:valAx>
        <c:axId val="634707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219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undeformed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'load center'!$C$9:$C$29</c:f>
              <c:numCache>
                <c:ptCount val="21"/>
                <c:pt idx="0">
                  <c:v>0</c:v>
                </c:pt>
                <c:pt idx="1">
                  <c:v>4.084177394208691</c:v>
                </c:pt>
                <c:pt idx="2">
                  <c:v>8.297764501097888</c:v>
                </c:pt>
                <c:pt idx="3">
                  <c:v>12.627434469045657</c:v>
                </c:pt>
                <c:pt idx="4">
                  <c:v>17.059493296297422</c:v>
                </c:pt>
                <c:pt idx="5">
                  <c:v>21.579923142739258</c:v>
                </c:pt>
                <c:pt idx="6">
                  <c:v>26.17442666591623</c:v>
                </c:pt>
                <c:pt idx="7">
                  <c:v>30.82847224106858</c:v>
                </c:pt>
                <c:pt idx="8">
                  <c:v>35.5273399221626</c:v>
                </c:pt>
                <c:pt idx="9">
                  <c:v>40.25616799854925</c:v>
                </c:pt>
                <c:pt idx="10">
                  <c:v>44.999999999999986</c:v>
                </c:pt>
                <c:pt idx="11">
                  <c:v>49.74383200145072</c:v>
                </c:pt>
                <c:pt idx="12">
                  <c:v>54.472660077837375</c:v>
                </c:pt>
                <c:pt idx="13">
                  <c:v>59.17152775893139</c:v>
                </c:pt>
                <c:pt idx="14">
                  <c:v>63.82557333408374</c:v>
                </c:pt>
                <c:pt idx="15">
                  <c:v>68.42007685726071</c:v>
                </c:pt>
                <c:pt idx="16">
                  <c:v>72.94050670370254</c:v>
                </c:pt>
                <c:pt idx="17">
                  <c:v>77.3725655309543</c:v>
                </c:pt>
                <c:pt idx="18">
                  <c:v>81.70223549890207</c:v>
                </c:pt>
                <c:pt idx="19">
                  <c:v>85.91582260579126</c:v>
                </c:pt>
                <c:pt idx="20">
                  <c:v>89.99999999999996</c:v>
                </c:pt>
              </c:numCache>
            </c:numRef>
          </c:xVal>
          <c:yVal>
            <c:numRef>
              <c:f>'load center'!$D$9:$D$29</c:f>
              <c:numCache>
                <c:ptCount val="21"/>
                <c:pt idx="0">
                  <c:v>0</c:v>
                </c:pt>
                <c:pt idx="1">
                  <c:v>2.416866809856051</c:v>
                </c:pt>
                <c:pt idx="2">
                  <c:v>4.600312219433809</c:v>
                </c:pt>
                <c:pt idx="3">
                  <c:v>6.543430366279293</c:v>
                </c:pt>
                <c:pt idx="4">
                  <c:v>8.24007550175364</c:v>
                </c:pt>
                <c:pt idx="5">
                  <c:v>9.684881428979473</c:v>
                </c:pt>
                <c:pt idx="6">
                  <c:v>10.873278475199072</c:v>
                </c:pt>
                <c:pt idx="7">
                  <c:v>11.801507944863692</c:v>
                </c:pt>
                <c:pt idx="8">
                  <c:v>12.46663400774139</c:v>
                </c:pt>
                <c:pt idx="9">
                  <c:v>12.866552984443324</c:v>
                </c:pt>
                <c:pt idx="10">
                  <c:v>12.999999999999996</c:v>
                </c:pt>
                <c:pt idx="11">
                  <c:v>12.866552984443326</c:v>
                </c:pt>
                <c:pt idx="12">
                  <c:v>12.466634007741392</c:v>
                </c:pt>
                <c:pt idx="13">
                  <c:v>11.801507944863696</c:v>
                </c:pt>
                <c:pt idx="14">
                  <c:v>10.873278475199076</c:v>
                </c:pt>
                <c:pt idx="15">
                  <c:v>9.684881428979477</c:v>
                </c:pt>
                <c:pt idx="16">
                  <c:v>8.240075501753644</c:v>
                </c:pt>
                <c:pt idx="17">
                  <c:v>6.5434303662792965</c:v>
                </c:pt>
                <c:pt idx="18">
                  <c:v>4.600312219433812</c:v>
                </c:pt>
                <c:pt idx="19">
                  <c:v>2.416866809856055</c:v>
                </c:pt>
                <c:pt idx="20">
                  <c:v>3.9968028886505635E-15</c:v>
                </c:pt>
              </c:numCache>
            </c:numRef>
          </c:yVal>
          <c:smooth val="1"/>
        </c:ser>
        <c:ser>
          <c:idx val="1"/>
          <c:order val="1"/>
          <c:tx>
            <c:v>deformed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'load center'!$H$9:$H$29</c:f>
              <c:numCache>
                <c:ptCount val="21"/>
                <c:pt idx="0">
                  <c:v>0</c:v>
                </c:pt>
                <c:pt idx="1">
                  <c:v>4.0844016954002935</c:v>
                </c:pt>
                <c:pt idx="2">
                  <c:v>8.298191216361914</c:v>
                </c:pt>
                <c:pt idx="3">
                  <c:v>12.62805802774837</c:v>
                </c:pt>
                <c:pt idx="4">
                  <c:v>17.060287883654624</c:v>
                </c:pt>
                <c:pt idx="5">
                  <c:v>21.58083138782959</c:v>
                </c:pt>
                <c:pt idx="6">
                  <c:v>26.17536015259129</c:v>
                </c:pt>
                <c:pt idx="7">
                  <c:v>30.829321944009383</c:v>
                </c:pt>
                <c:pt idx="8">
                  <c:v>35.52799292478569</c:v>
                </c:pt>
                <c:pt idx="9">
                  <c:v>40.25652779964656</c:v>
                </c:pt>
                <c:pt idx="10">
                  <c:v>45.00000799710892</c:v>
                </c:pt>
                <c:pt idx="11">
                  <c:v>49.74348835976453</c:v>
                </c:pt>
                <c:pt idx="12">
                  <c:v>54.47202383649166</c:v>
                </c:pt>
                <c:pt idx="13">
                  <c:v>59.17069605271426</c:v>
                </c:pt>
                <c:pt idx="14">
                  <c:v>63.82465976607095</c:v>
                </c:pt>
                <c:pt idx="15">
                  <c:v>68.41919065484917</c:v>
                </c:pt>
                <c:pt idx="16">
                  <c:v>72.93973535538969</c:v>
                </c:pt>
                <c:pt idx="17">
                  <c:v>77.37196410996204</c:v>
                </c:pt>
                <c:pt idx="18">
                  <c:v>81.70182585946893</c:v>
                </c:pt>
                <c:pt idx="19">
                  <c:v>85.91560830423079</c:v>
                </c:pt>
                <c:pt idx="20">
                  <c:v>90.000000817277</c:v>
                </c:pt>
              </c:numCache>
            </c:numRef>
          </c:xVal>
          <c:yVal>
            <c:numRef>
              <c:f>'load center'!$I$9:$I$29</c:f>
              <c:numCache>
                <c:ptCount val="21"/>
                <c:pt idx="0">
                  <c:v>0</c:v>
                </c:pt>
                <c:pt idx="1">
                  <c:v>2.415680052891904</c:v>
                </c:pt>
                <c:pt idx="2">
                  <c:v>4.597862372763681</c:v>
                </c:pt>
                <c:pt idx="3">
                  <c:v>6.539583284997768</c:v>
                </c:pt>
                <c:pt idx="4">
                  <c:v>8.234705761026277</c:v>
                </c:pt>
                <c:pt idx="5">
                  <c:v>9.677914955640988</c:v>
                </c:pt>
                <c:pt idx="6">
                  <c:v>10.864728254395969</c:v>
                </c:pt>
                <c:pt idx="7">
                  <c:v>11.79149862390229</c:v>
                </c:pt>
                <c:pt idx="8">
                  <c:v>12.455416737776146</c:v>
                </c:pt>
                <c:pt idx="9">
                  <c:v>12.854510737385159</c:v>
                </c:pt>
                <c:pt idx="10">
                  <c:v>12.98764478695439</c:v>
                </c:pt>
                <c:pt idx="11">
                  <c:v>12.854516669319917</c:v>
                </c:pt>
                <c:pt idx="12">
                  <c:v>12.455429829393557</c:v>
                </c:pt>
                <c:pt idx="13">
                  <c:v>11.791520486306759</c:v>
                </c:pt>
                <c:pt idx="14">
                  <c:v>10.864759804395149</c:v>
                </c:pt>
                <c:pt idx="15">
                  <c:v>9.677954754318623</c:v>
                </c:pt>
                <c:pt idx="16">
                  <c:v>8.234749293941853</c:v>
                </c:pt>
                <c:pt idx="17">
                  <c:v>6.539623873655554</c:v>
                </c:pt>
                <c:pt idx="18">
                  <c:v>4.597891571724506</c:v>
                </c:pt>
                <c:pt idx="19">
                  <c:v>2.415695499557359</c:v>
                </c:pt>
                <c:pt idx="20">
                  <c:v>-1.0278345463632377E-07</c:v>
                </c:pt>
              </c:numCache>
            </c:numRef>
          </c:yVal>
          <c:smooth val="1"/>
        </c:ser>
        <c:axId val="34365614"/>
        <c:axId val="40855071"/>
      </c:scatterChart>
      <c:valAx>
        <c:axId val="34365614"/>
        <c:scaling>
          <c:orientation val="minMax"/>
          <c:max val="90"/>
        </c:scaling>
        <c:axPos val="b"/>
        <c:delete val="0"/>
        <c:numFmt formatCode="General" sourceLinked="1"/>
        <c:majorTickMark val="out"/>
        <c:minorTickMark val="none"/>
        <c:tickLblPos val="nextTo"/>
        <c:crossAx val="40855071"/>
        <c:crosses val="autoZero"/>
        <c:crossBetween val="midCat"/>
        <c:dispUnits/>
      </c:valAx>
      <c:valAx>
        <c:axId val="40855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656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undeformed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'load quarter'!$C$9:$C$29</c:f>
              <c:numCache>
                <c:ptCount val="21"/>
                <c:pt idx="0">
                  <c:v>0</c:v>
                </c:pt>
                <c:pt idx="1">
                  <c:v>4.084177394208691</c:v>
                </c:pt>
                <c:pt idx="2">
                  <c:v>8.297764501097888</c:v>
                </c:pt>
                <c:pt idx="3">
                  <c:v>12.627434469045657</c:v>
                </c:pt>
                <c:pt idx="4">
                  <c:v>17.059493296297422</c:v>
                </c:pt>
                <c:pt idx="5">
                  <c:v>21.579923142739258</c:v>
                </c:pt>
                <c:pt idx="6">
                  <c:v>26.17442666591623</c:v>
                </c:pt>
                <c:pt idx="7">
                  <c:v>30.82847224106858</c:v>
                </c:pt>
                <c:pt idx="8">
                  <c:v>35.5273399221626</c:v>
                </c:pt>
                <c:pt idx="9">
                  <c:v>40.25616799854925</c:v>
                </c:pt>
                <c:pt idx="10">
                  <c:v>44.999999999999986</c:v>
                </c:pt>
                <c:pt idx="11">
                  <c:v>49.74383200145072</c:v>
                </c:pt>
                <c:pt idx="12">
                  <c:v>54.472660077837375</c:v>
                </c:pt>
                <c:pt idx="13">
                  <c:v>59.17152775893139</c:v>
                </c:pt>
                <c:pt idx="14">
                  <c:v>63.82557333408374</c:v>
                </c:pt>
                <c:pt idx="15">
                  <c:v>68.42007685726071</c:v>
                </c:pt>
                <c:pt idx="16">
                  <c:v>72.94050670370254</c:v>
                </c:pt>
                <c:pt idx="17">
                  <c:v>77.3725655309543</c:v>
                </c:pt>
                <c:pt idx="18">
                  <c:v>81.70223549890207</c:v>
                </c:pt>
                <c:pt idx="19">
                  <c:v>85.91582260579126</c:v>
                </c:pt>
                <c:pt idx="20">
                  <c:v>89.99999999999996</c:v>
                </c:pt>
              </c:numCache>
            </c:numRef>
          </c:xVal>
          <c:yVal>
            <c:numRef>
              <c:f>'load quarter'!$D$9:$D$29</c:f>
              <c:numCache>
                <c:ptCount val="21"/>
                <c:pt idx="0">
                  <c:v>0</c:v>
                </c:pt>
                <c:pt idx="1">
                  <c:v>2.416866809856051</c:v>
                </c:pt>
                <c:pt idx="2">
                  <c:v>4.600312219433809</c:v>
                </c:pt>
                <c:pt idx="3">
                  <c:v>6.543430366279293</c:v>
                </c:pt>
                <c:pt idx="4">
                  <c:v>8.24007550175364</c:v>
                </c:pt>
                <c:pt idx="5">
                  <c:v>9.684881428979473</c:v>
                </c:pt>
                <c:pt idx="6">
                  <c:v>10.873278475199072</c:v>
                </c:pt>
                <c:pt idx="7">
                  <c:v>11.801507944863692</c:v>
                </c:pt>
                <c:pt idx="8">
                  <c:v>12.46663400774139</c:v>
                </c:pt>
                <c:pt idx="9">
                  <c:v>12.866552984443324</c:v>
                </c:pt>
                <c:pt idx="10">
                  <c:v>12.999999999999996</c:v>
                </c:pt>
                <c:pt idx="11">
                  <c:v>12.866552984443326</c:v>
                </c:pt>
                <c:pt idx="12">
                  <c:v>12.466634007741392</c:v>
                </c:pt>
                <c:pt idx="13">
                  <c:v>11.801507944863696</c:v>
                </c:pt>
                <c:pt idx="14">
                  <c:v>10.873278475199076</c:v>
                </c:pt>
                <c:pt idx="15">
                  <c:v>9.684881428979477</c:v>
                </c:pt>
                <c:pt idx="16">
                  <c:v>8.240075501753644</c:v>
                </c:pt>
                <c:pt idx="17">
                  <c:v>6.5434303662792965</c:v>
                </c:pt>
                <c:pt idx="18">
                  <c:v>4.600312219433812</c:v>
                </c:pt>
                <c:pt idx="19">
                  <c:v>2.416866809856055</c:v>
                </c:pt>
                <c:pt idx="20">
                  <c:v>3.9968028886505635E-15</c:v>
                </c:pt>
              </c:numCache>
            </c:numRef>
          </c:yVal>
          <c:smooth val="1"/>
        </c:ser>
        <c:ser>
          <c:idx val="1"/>
          <c:order val="1"/>
          <c:tx>
            <c:v>deformed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'load quarter'!$H$9:$H$29</c:f>
              <c:numCache>
                <c:ptCount val="21"/>
                <c:pt idx="0">
                  <c:v>0</c:v>
                </c:pt>
                <c:pt idx="1">
                  <c:v>4.084809621278937</c:v>
                </c:pt>
                <c:pt idx="2">
                  <c:v>8.298935392578043</c:v>
                </c:pt>
                <c:pt idx="3">
                  <c:v>12.629042943427606</c:v>
                </c:pt>
                <c:pt idx="4">
                  <c:v>17.061409608720744</c:v>
                </c:pt>
                <c:pt idx="5">
                  <c:v>21.58198699397321</c:v>
                </c:pt>
                <c:pt idx="6">
                  <c:v>26.176459421946177</c:v>
                </c:pt>
                <c:pt idx="7">
                  <c:v>30.83030249334932</c:v>
                </c:pt>
                <c:pt idx="8">
                  <c:v>35.528857121416515</c:v>
                </c:pt>
                <c:pt idx="9">
                  <c:v>40.25731860045657</c:v>
                </c:pt>
                <c:pt idx="10">
                  <c:v>45.00078036085575</c:v>
                </c:pt>
                <c:pt idx="11">
                  <c:v>49.74428006629818</c:v>
                </c:pt>
                <c:pt idx="12">
                  <c:v>54.472844227357314</c:v>
                </c:pt>
                <c:pt idx="13">
                  <c:v>59.171533385886136</c:v>
                </c:pt>
                <c:pt idx="14">
                  <c:v>63.82548762108027</c:v>
                </c:pt>
                <c:pt idx="15">
                  <c:v>68.41997281652347</c:v>
                </c:pt>
                <c:pt idx="16">
                  <c:v>72.94043175773562</c:v>
                </c:pt>
                <c:pt idx="17">
                  <c:v>77.37253469768424</c:v>
                </c:pt>
                <c:pt idx="18">
                  <c:v>81.70223504256892</c:v>
                </c:pt>
                <c:pt idx="19">
                  <c:v>85.9158260244354</c:v>
                </c:pt>
                <c:pt idx="20">
                  <c:v>90.00000067630418</c:v>
                </c:pt>
              </c:numCache>
            </c:numRef>
          </c:xVal>
          <c:yVal>
            <c:numRef>
              <c:f>'load quarter'!$I$9:$I$29</c:f>
              <c:numCache>
                <c:ptCount val="21"/>
                <c:pt idx="0">
                  <c:v>0</c:v>
                </c:pt>
                <c:pt idx="1">
                  <c:v>2.4149929746765424</c:v>
                </c:pt>
                <c:pt idx="2">
                  <c:v>4.596529048223063</c:v>
                </c:pt>
                <c:pt idx="3">
                  <c:v>6.537716598464545</c:v>
                </c:pt>
                <c:pt idx="4">
                  <c:v>8.232485259259313</c:v>
                </c:pt>
                <c:pt idx="5">
                  <c:v>9.6755928288791</c:v>
                </c:pt>
                <c:pt idx="6">
                  <c:v>10.862629692294021</c:v>
                </c:pt>
                <c:pt idx="7">
                  <c:v>11.790018151260822</c:v>
                </c:pt>
                <c:pt idx="8">
                  <c:v>12.454790570204207</c:v>
                </c:pt>
                <c:pt idx="9">
                  <c:v>12.854806246945381</c:v>
                </c:pt>
                <c:pt idx="10">
                  <c:v>12.988755216267489</c:v>
                </c:pt>
                <c:pt idx="11">
                  <c:v>12.856156829088253</c:v>
                </c:pt>
                <c:pt idx="12">
                  <c:v>12.457356648515194</c:v>
                </c:pt>
                <c:pt idx="13">
                  <c:v>11.79353551700828</c:v>
                </c:pt>
                <c:pt idx="14">
                  <c:v>10.866704797429184</c:v>
                </c:pt>
                <c:pt idx="15">
                  <c:v>9.679705440396646</c:v>
                </c:pt>
                <c:pt idx="16">
                  <c:v>8.236217016951636</c:v>
                </c:pt>
                <c:pt idx="17">
                  <c:v>6.54075037259263</c:v>
                </c:pt>
                <c:pt idx="18">
                  <c:v>4.598647467727135</c:v>
                </c:pt>
                <c:pt idx="19">
                  <c:v>2.416072273662095</c:v>
                </c:pt>
                <c:pt idx="20">
                  <c:v>-1.1786714404493637E-07</c:v>
                </c:pt>
              </c:numCache>
            </c:numRef>
          </c:yVal>
          <c:smooth val="1"/>
        </c:ser>
        <c:axId val="32151320"/>
        <c:axId val="20926425"/>
      </c:scatterChart>
      <c:valAx>
        <c:axId val="32151320"/>
        <c:scaling>
          <c:orientation val="minMax"/>
          <c:max val="90"/>
        </c:scaling>
        <c:axPos val="b"/>
        <c:delete val="0"/>
        <c:numFmt formatCode="General" sourceLinked="1"/>
        <c:majorTickMark val="out"/>
        <c:minorTickMark val="none"/>
        <c:tickLblPos val="nextTo"/>
        <c:crossAx val="20926425"/>
        <c:crosses val="autoZero"/>
        <c:crossBetween val="midCat"/>
        <c:dispUnits/>
      </c:valAx>
      <c:valAx>
        <c:axId val="209264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513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undeformed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'load both '!$C$9:$C$29</c:f>
              <c:numCache>
                <c:ptCount val="21"/>
                <c:pt idx="0">
                  <c:v>0</c:v>
                </c:pt>
                <c:pt idx="1">
                  <c:v>4.084177394208691</c:v>
                </c:pt>
                <c:pt idx="2">
                  <c:v>8.297764501097888</c:v>
                </c:pt>
                <c:pt idx="3">
                  <c:v>12.627434469045657</c:v>
                </c:pt>
                <c:pt idx="4">
                  <c:v>17.059493296297422</c:v>
                </c:pt>
                <c:pt idx="5">
                  <c:v>21.579923142739258</c:v>
                </c:pt>
                <c:pt idx="6">
                  <c:v>26.17442666591623</c:v>
                </c:pt>
                <c:pt idx="7">
                  <c:v>30.82847224106858</c:v>
                </c:pt>
                <c:pt idx="8">
                  <c:v>35.5273399221626</c:v>
                </c:pt>
                <c:pt idx="9">
                  <c:v>40.25616799854925</c:v>
                </c:pt>
                <c:pt idx="10">
                  <c:v>44.999999999999986</c:v>
                </c:pt>
                <c:pt idx="11">
                  <c:v>49.74383200145072</c:v>
                </c:pt>
                <c:pt idx="12">
                  <c:v>54.472660077837375</c:v>
                </c:pt>
                <c:pt idx="13">
                  <c:v>59.17152775893139</c:v>
                </c:pt>
                <c:pt idx="14">
                  <c:v>63.82557333408374</c:v>
                </c:pt>
                <c:pt idx="15">
                  <c:v>68.42007685726071</c:v>
                </c:pt>
                <c:pt idx="16">
                  <c:v>72.94050670370254</c:v>
                </c:pt>
                <c:pt idx="17">
                  <c:v>77.3725655309543</c:v>
                </c:pt>
                <c:pt idx="18">
                  <c:v>81.70223549890207</c:v>
                </c:pt>
                <c:pt idx="19">
                  <c:v>85.91582260579126</c:v>
                </c:pt>
                <c:pt idx="20">
                  <c:v>89.99999999999996</c:v>
                </c:pt>
              </c:numCache>
            </c:numRef>
          </c:xVal>
          <c:yVal>
            <c:numRef>
              <c:f>'load both '!$D$9:$D$29</c:f>
              <c:numCache>
                <c:ptCount val="21"/>
                <c:pt idx="0">
                  <c:v>0</c:v>
                </c:pt>
                <c:pt idx="1">
                  <c:v>2.416866809856051</c:v>
                </c:pt>
                <c:pt idx="2">
                  <c:v>4.600312219433809</c:v>
                </c:pt>
                <c:pt idx="3">
                  <c:v>6.543430366279293</c:v>
                </c:pt>
                <c:pt idx="4">
                  <c:v>8.24007550175364</c:v>
                </c:pt>
                <c:pt idx="5">
                  <c:v>9.684881428979473</c:v>
                </c:pt>
                <c:pt idx="6">
                  <c:v>10.873278475199072</c:v>
                </c:pt>
                <c:pt idx="7">
                  <c:v>11.801507944863692</c:v>
                </c:pt>
                <c:pt idx="8">
                  <c:v>12.46663400774139</c:v>
                </c:pt>
                <c:pt idx="9">
                  <c:v>12.866552984443324</c:v>
                </c:pt>
                <c:pt idx="10">
                  <c:v>12.999999999999996</c:v>
                </c:pt>
                <c:pt idx="11">
                  <c:v>12.866552984443326</c:v>
                </c:pt>
                <c:pt idx="12">
                  <c:v>12.466634007741392</c:v>
                </c:pt>
                <c:pt idx="13">
                  <c:v>11.801507944863696</c:v>
                </c:pt>
                <c:pt idx="14">
                  <c:v>10.873278475199076</c:v>
                </c:pt>
                <c:pt idx="15">
                  <c:v>9.684881428979477</c:v>
                </c:pt>
                <c:pt idx="16">
                  <c:v>8.240075501753644</c:v>
                </c:pt>
                <c:pt idx="17">
                  <c:v>6.5434303662792965</c:v>
                </c:pt>
                <c:pt idx="18">
                  <c:v>4.600312219433812</c:v>
                </c:pt>
                <c:pt idx="19">
                  <c:v>2.416866809856055</c:v>
                </c:pt>
                <c:pt idx="20">
                  <c:v>3.9968028886505635E-15</c:v>
                </c:pt>
              </c:numCache>
            </c:numRef>
          </c:yVal>
          <c:smooth val="1"/>
        </c:ser>
        <c:ser>
          <c:idx val="1"/>
          <c:order val="1"/>
          <c:tx>
            <c:v>deformed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'load both '!$H$9:$H$29</c:f>
              <c:numCache>
                <c:ptCount val="21"/>
                <c:pt idx="0">
                  <c:v>0</c:v>
                </c:pt>
                <c:pt idx="1">
                  <c:v>4.084707667524797</c:v>
                </c:pt>
                <c:pt idx="2">
                  <c:v>8.298764344610156</c:v>
                </c:pt>
                <c:pt idx="3">
                  <c:v>12.6288466208709</c:v>
                </c:pt>
                <c:pt idx="4">
                  <c:v>17.06122915162194</c:v>
                </c:pt>
                <c:pt idx="5">
                  <c:v>21.581851274188594</c:v>
                </c:pt>
                <c:pt idx="6">
                  <c:v>26.176380740934288</c:v>
                </c:pt>
                <c:pt idx="7">
                  <c:v>30.83027537623946</c:v>
                </c:pt>
                <c:pt idx="8">
                  <c:v>35.52886162713104</c:v>
                </c:pt>
                <c:pt idx="9">
                  <c:v>40.257328606664686</c:v>
                </c:pt>
                <c:pt idx="10">
                  <c:v>45.000775425934705</c:v>
                </c:pt>
                <c:pt idx="11">
                  <c:v>49.74426026316562</c:v>
                </c:pt>
                <c:pt idx="12">
                  <c:v>54.472829879324294</c:v>
                </c:pt>
                <c:pt idx="13">
                  <c:v>59.17154937195798</c:v>
                </c:pt>
                <c:pt idx="14">
                  <c:v>63.82555212003829</c:v>
                </c:pt>
                <c:pt idx="15">
                  <c:v>68.42009125589207</c:v>
                </c:pt>
                <c:pt idx="16">
                  <c:v>72.94059324799295</c:v>
                </c:pt>
                <c:pt idx="17">
                  <c:v>77.37271299810155</c:v>
                </c:pt>
                <c:pt idx="18">
                  <c:v>81.70239273064708</c:v>
                </c:pt>
                <c:pt idx="19">
                  <c:v>85.91592029223172</c:v>
                </c:pt>
                <c:pt idx="20">
                  <c:v>90.00000063727653</c:v>
                </c:pt>
              </c:numCache>
            </c:numRef>
          </c:xVal>
          <c:yVal>
            <c:numRef>
              <c:f>'load both '!$I$9:$I$29</c:f>
              <c:numCache>
                <c:ptCount val="21"/>
                <c:pt idx="0">
                  <c:v>0</c:v>
                </c:pt>
                <c:pt idx="1">
                  <c:v>2.4151292323188462</c:v>
                </c:pt>
                <c:pt idx="2">
                  <c:v>4.596758668323629</c:v>
                </c:pt>
                <c:pt idx="3">
                  <c:v>6.5379575379064025</c:v>
                </c:pt>
                <c:pt idx="4">
                  <c:v>8.232633157451918</c:v>
                </c:pt>
                <c:pt idx="5">
                  <c:v>9.675540086486766</c:v>
                </c:pt>
                <c:pt idx="6">
                  <c:v>10.862282547349324</c:v>
                </c:pt>
                <c:pt idx="7">
                  <c:v>11.78931816724813</c:v>
                </c:pt>
                <c:pt idx="8">
                  <c:v>12.453735362612672</c:v>
                </c:pt>
                <c:pt idx="9">
                  <c:v>12.853466386175832</c:v>
                </c:pt>
                <c:pt idx="10">
                  <c:v>12.9872877509721</c:v>
                </c:pt>
                <c:pt idx="11">
                  <c:v>12.854820650373417</c:v>
                </c:pt>
                <c:pt idx="12">
                  <c:v>12.456305466734133</c:v>
                </c:pt>
                <c:pt idx="13">
                  <c:v>11.792831086184085</c:v>
                </c:pt>
                <c:pt idx="14">
                  <c:v>10.866338252681436</c:v>
                </c:pt>
                <c:pt idx="15">
                  <c:v>9.679621186853607</c:v>
                </c:pt>
                <c:pt idx="16">
                  <c:v>8.236328078028412</c:v>
                </c:pt>
                <c:pt idx="17">
                  <c:v>6.540956985536994</c:v>
                </c:pt>
                <c:pt idx="18">
                  <c:v>4.598853222734024</c:v>
                </c:pt>
                <c:pt idx="19">
                  <c:v>2.4161956304533176</c:v>
                </c:pt>
                <c:pt idx="20">
                  <c:v>-1.2144689476301096E-07</c:v>
                </c:pt>
              </c:numCache>
            </c:numRef>
          </c:yVal>
          <c:smooth val="1"/>
        </c:ser>
        <c:axId val="54120098"/>
        <c:axId val="17318835"/>
      </c:scatterChart>
      <c:valAx>
        <c:axId val="54120098"/>
        <c:scaling>
          <c:orientation val="minMax"/>
          <c:max val="90"/>
        </c:scaling>
        <c:axPos val="b"/>
        <c:delete val="0"/>
        <c:numFmt formatCode="General" sourceLinked="1"/>
        <c:majorTickMark val="out"/>
        <c:minorTickMark val="none"/>
        <c:tickLblPos val="nextTo"/>
        <c:crossAx val="17318835"/>
        <c:crosses val="autoZero"/>
        <c:crossBetween val="midCat"/>
        <c:dispUnits/>
      </c:valAx>
      <c:valAx>
        <c:axId val="173188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200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undeformed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'load center'!$C$9:$C$29</c:f>
              <c:numCache>
                <c:ptCount val="21"/>
                <c:pt idx="0">
                  <c:v>0</c:v>
                </c:pt>
                <c:pt idx="1">
                  <c:v>4.084177394208691</c:v>
                </c:pt>
                <c:pt idx="2">
                  <c:v>8.297764501097888</c:v>
                </c:pt>
                <c:pt idx="3">
                  <c:v>12.627434469045657</c:v>
                </c:pt>
                <c:pt idx="4">
                  <c:v>17.059493296297422</c:v>
                </c:pt>
                <c:pt idx="5">
                  <c:v>21.579923142739258</c:v>
                </c:pt>
                <c:pt idx="6">
                  <c:v>26.17442666591623</c:v>
                </c:pt>
                <c:pt idx="7">
                  <c:v>30.82847224106858</c:v>
                </c:pt>
                <c:pt idx="8">
                  <c:v>35.5273399221626</c:v>
                </c:pt>
                <c:pt idx="9">
                  <c:v>40.25616799854925</c:v>
                </c:pt>
                <c:pt idx="10">
                  <c:v>44.999999999999986</c:v>
                </c:pt>
                <c:pt idx="11">
                  <c:v>49.74383200145072</c:v>
                </c:pt>
                <c:pt idx="12">
                  <c:v>54.472660077837375</c:v>
                </c:pt>
                <c:pt idx="13">
                  <c:v>59.17152775893139</c:v>
                </c:pt>
                <c:pt idx="14">
                  <c:v>63.82557333408374</c:v>
                </c:pt>
                <c:pt idx="15">
                  <c:v>68.42007685726071</c:v>
                </c:pt>
                <c:pt idx="16">
                  <c:v>72.94050670370254</c:v>
                </c:pt>
                <c:pt idx="17">
                  <c:v>77.3725655309543</c:v>
                </c:pt>
                <c:pt idx="18">
                  <c:v>81.70223549890207</c:v>
                </c:pt>
                <c:pt idx="19">
                  <c:v>85.91582260579126</c:v>
                </c:pt>
                <c:pt idx="20">
                  <c:v>89.99999999999996</c:v>
                </c:pt>
              </c:numCache>
            </c:numRef>
          </c:xVal>
          <c:yVal>
            <c:numRef>
              <c:f>'load center'!$D$9:$D$29</c:f>
              <c:numCache>
                <c:ptCount val="21"/>
                <c:pt idx="0">
                  <c:v>0</c:v>
                </c:pt>
                <c:pt idx="1">
                  <c:v>2.416866809856051</c:v>
                </c:pt>
                <c:pt idx="2">
                  <c:v>4.600312219433809</c:v>
                </c:pt>
                <c:pt idx="3">
                  <c:v>6.543430366279293</c:v>
                </c:pt>
                <c:pt idx="4">
                  <c:v>8.24007550175364</c:v>
                </c:pt>
                <c:pt idx="5">
                  <c:v>9.684881428979473</c:v>
                </c:pt>
                <c:pt idx="6">
                  <c:v>10.873278475199072</c:v>
                </c:pt>
                <c:pt idx="7">
                  <c:v>11.801507944863692</c:v>
                </c:pt>
                <c:pt idx="8">
                  <c:v>12.46663400774139</c:v>
                </c:pt>
                <c:pt idx="9">
                  <c:v>12.866552984443324</c:v>
                </c:pt>
                <c:pt idx="10">
                  <c:v>12.999999999999996</c:v>
                </c:pt>
                <c:pt idx="11">
                  <c:v>12.866552984443326</c:v>
                </c:pt>
                <c:pt idx="12">
                  <c:v>12.466634007741392</c:v>
                </c:pt>
                <c:pt idx="13">
                  <c:v>11.801507944863696</c:v>
                </c:pt>
                <c:pt idx="14">
                  <c:v>10.873278475199076</c:v>
                </c:pt>
                <c:pt idx="15">
                  <c:v>9.684881428979477</c:v>
                </c:pt>
                <c:pt idx="16">
                  <c:v>8.240075501753644</c:v>
                </c:pt>
                <c:pt idx="17">
                  <c:v>6.5434303662792965</c:v>
                </c:pt>
                <c:pt idx="18">
                  <c:v>4.600312219433812</c:v>
                </c:pt>
                <c:pt idx="19">
                  <c:v>2.416866809856055</c:v>
                </c:pt>
                <c:pt idx="20">
                  <c:v>3.9968028886505635E-15</c:v>
                </c:pt>
              </c:numCache>
            </c:numRef>
          </c:yVal>
          <c:smooth val="1"/>
        </c:ser>
        <c:ser>
          <c:idx val="1"/>
          <c:order val="1"/>
          <c:tx>
            <c:v>deformed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'load center'!$H$9:$H$29</c:f>
              <c:numCache>
                <c:ptCount val="21"/>
                <c:pt idx="0">
                  <c:v>0</c:v>
                </c:pt>
                <c:pt idx="1">
                  <c:v>4.0844016954002935</c:v>
                </c:pt>
                <c:pt idx="2">
                  <c:v>8.298191216361914</c:v>
                </c:pt>
                <c:pt idx="3">
                  <c:v>12.62805802774837</c:v>
                </c:pt>
                <c:pt idx="4">
                  <c:v>17.060287883654624</c:v>
                </c:pt>
                <c:pt idx="5">
                  <c:v>21.58083138782959</c:v>
                </c:pt>
                <c:pt idx="6">
                  <c:v>26.17536015259129</c:v>
                </c:pt>
                <c:pt idx="7">
                  <c:v>30.829321944009383</c:v>
                </c:pt>
                <c:pt idx="8">
                  <c:v>35.52799292478569</c:v>
                </c:pt>
                <c:pt idx="9">
                  <c:v>40.25652779964656</c:v>
                </c:pt>
                <c:pt idx="10">
                  <c:v>45.00000799710892</c:v>
                </c:pt>
                <c:pt idx="11">
                  <c:v>49.74348835976453</c:v>
                </c:pt>
                <c:pt idx="12">
                  <c:v>54.47202383649166</c:v>
                </c:pt>
                <c:pt idx="13">
                  <c:v>59.17069605271426</c:v>
                </c:pt>
                <c:pt idx="14">
                  <c:v>63.82465976607095</c:v>
                </c:pt>
                <c:pt idx="15">
                  <c:v>68.41919065484917</c:v>
                </c:pt>
                <c:pt idx="16">
                  <c:v>72.93973535538969</c:v>
                </c:pt>
                <c:pt idx="17">
                  <c:v>77.37196410996204</c:v>
                </c:pt>
                <c:pt idx="18">
                  <c:v>81.70182585946893</c:v>
                </c:pt>
                <c:pt idx="19">
                  <c:v>85.91560830423079</c:v>
                </c:pt>
                <c:pt idx="20">
                  <c:v>90.000000817277</c:v>
                </c:pt>
              </c:numCache>
            </c:numRef>
          </c:xVal>
          <c:yVal>
            <c:numRef>
              <c:f>'load center'!$I$9:$I$29</c:f>
              <c:numCache>
                <c:ptCount val="21"/>
                <c:pt idx="0">
                  <c:v>0</c:v>
                </c:pt>
                <c:pt idx="1">
                  <c:v>2.415680052891904</c:v>
                </c:pt>
                <c:pt idx="2">
                  <c:v>4.597862372763681</c:v>
                </c:pt>
                <c:pt idx="3">
                  <c:v>6.539583284997768</c:v>
                </c:pt>
                <c:pt idx="4">
                  <c:v>8.234705761026277</c:v>
                </c:pt>
                <c:pt idx="5">
                  <c:v>9.677914955640988</c:v>
                </c:pt>
                <c:pt idx="6">
                  <c:v>10.864728254395969</c:v>
                </c:pt>
                <c:pt idx="7">
                  <c:v>11.79149862390229</c:v>
                </c:pt>
                <c:pt idx="8">
                  <c:v>12.455416737776146</c:v>
                </c:pt>
                <c:pt idx="9">
                  <c:v>12.854510737385159</c:v>
                </c:pt>
                <c:pt idx="10">
                  <c:v>12.98764478695439</c:v>
                </c:pt>
                <c:pt idx="11">
                  <c:v>12.854516669319917</c:v>
                </c:pt>
                <c:pt idx="12">
                  <c:v>12.455429829393557</c:v>
                </c:pt>
                <c:pt idx="13">
                  <c:v>11.791520486306759</c:v>
                </c:pt>
                <c:pt idx="14">
                  <c:v>10.864759804395149</c:v>
                </c:pt>
                <c:pt idx="15">
                  <c:v>9.677954754318623</c:v>
                </c:pt>
                <c:pt idx="16">
                  <c:v>8.234749293941853</c:v>
                </c:pt>
                <c:pt idx="17">
                  <c:v>6.539623873655554</c:v>
                </c:pt>
                <c:pt idx="18">
                  <c:v>4.597891571724506</c:v>
                </c:pt>
                <c:pt idx="19">
                  <c:v>2.415695499557359</c:v>
                </c:pt>
                <c:pt idx="20">
                  <c:v>-1.0278345463632377E-07</c:v>
                </c:pt>
              </c:numCache>
            </c:numRef>
          </c:yVal>
          <c:smooth val="1"/>
        </c:ser>
        <c:axId val="21651788"/>
        <c:axId val="60648365"/>
      </c:scatterChart>
      <c:valAx>
        <c:axId val="21651788"/>
        <c:scaling>
          <c:orientation val="minMax"/>
          <c:max val="90"/>
        </c:scaling>
        <c:axPos val="b"/>
        <c:delete val="0"/>
        <c:numFmt formatCode="General" sourceLinked="1"/>
        <c:majorTickMark val="out"/>
        <c:minorTickMark val="none"/>
        <c:tickLblPos val="nextTo"/>
        <c:crossAx val="60648365"/>
        <c:crosses val="autoZero"/>
        <c:crossBetween val="midCat"/>
        <c:dispUnits/>
      </c:valAx>
      <c:valAx>
        <c:axId val="606483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517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Moments: dist load two hinged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v>center load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'load center'!$H$10:$H$28</c:f>
              <c:numCache>
                <c:ptCount val="19"/>
                <c:pt idx="0">
                  <c:v>4.0844016954002935</c:v>
                </c:pt>
                <c:pt idx="1">
                  <c:v>8.298191216361914</c:v>
                </c:pt>
                <c:pt idx="2">
                  <c:v>12.62805802774837</c:v>
                </c:pt>
                <c:pt idx="3">
                  <c:v>17.060287883654624</c:v>
                </c:pt>
                <c:pt idx="4">
                  <c:v>21.58083138782959</c:v>
                </c:pt>
                <c:pt idx="5">
                  <c:v>26.17536015259129</c:v>
                </c:pt>
                <c:pt idx="6">
                  <c:v>30.829321944009383</c:v>
                </c:pt>
                <c:pt idx="7">
                  <c:v>35.52799292478569</c:v>
                </c:pt>
                <c:pt idx="8">
                  <c:v>40.25652779964656</c:v>
                </c:pt>
                <c:pt idx="9">
                  <c:v>45.00000799710892</c:v>
                </c:pt>
                <c:pt idx="10">
                  <c:v>49.74348835976453</c:v>
                </c:pt>
                <c:pt idx="11">
                  <c:v>54.47202383649166</c:v>
                </c:pt>
                <c:pt idx="12">
                  <c:v>59.17069605271426</c:v>
                </c:pt>
                <c:pt idx="13">
                  <c:v>63.82465976607095</c:v>
                </c:pt>
                <c:pt idx="14">
                  <c:v>68.41919065484917</c:v>
                </c:pt>
                <c:pt idx="15">
                  <c:v>72.93973535538969</c:v>
                </c:pt>
                <c:pt idx="16">
                  <c:v>77.37196410996204</c:v>
                </c:pt>
                <c:pt idx="17">
                  <c:v>81.70182585946893</c:v>
                </c:pt>
                <c:pt idx="18">
                  <c:v>85.91560830423079</c:v>
                </c:pt>
              </c:numCache>
            </c:numRef>
          </c:xVal>
          <c:yVal>
            <c:numRef>
              <c:f>'load center'!$O$10:$O$28</c:f>
              <c:numCache>
                <c:ptCount val="19"/>
                <c:pt idx="0">
                  <c:v>-701.1727747405106</c:v>
                </c:pt>
                <c:pt idx="1">
                  <c:v>-1014.1894434263943</c:v>
                </c:pt>
                <c:pt idx="2">
                  <c:v>-945.6601171181634</c:v>
                </c:pt>
                <c:pt idx="3">
                  <c:v>-659.8160874303538</c:v>
                </c:pt>
                <c:pt idx="4">
                  <c:v>-206.29274636989604</c:v>
                </c:pt>
                <c:pt idx="5">
                  <c:v>353.5618530452034</c:v>
                </c:pt>
                <c:pt idx="6">
                  <c:v>973.6965719307155</c:v>
                </c:pt>
                <c:pt idx="7">
                  <c:v>1614.260659859479</c:v>
                </c:pt>
                <c:pt idx="8">
                  <c:v>2245.3401482632753</c:v>
                </c:pt>
                <c:pt idx="9">
                  <c:v>2846.352344071579</c:v>
                </c:pt>
                <c:pt idx="10">
                  <c:v>2251.738002767656</c:v>
                </c:pt>
                <c:pt idx="11">
                  <c:v>1622.8156958626894</c:v>
                </c:pt>
                <c:pt idx="12">
                  <c:v>978.9082409608518</c:v>
                </c:pt>
                <c:pt idx="13">
                  <c:v>346.6093059173891</c:v>
                </c:pt>
                <c:pt idx="14">
                  <c:v>-229.80839967849943</c:v>
                </c:pt>
                <c:pt idx="15">
                  <c:v>-695.9538872935101</c:v>
                </c:pt>
                <c:pt idx="16">
                  <c:v>-993.3328828106269</c:v>
                </c:pt>
                <c:pt idx="17">
                  <c:v>-1029.536660208219</c:v>
                </c:pt>
                <c:pt idx="18">
                  <c:v>-714.4272798543793</c:v>
                </c:pt>
              </c:numCache>
            </c:numRef>
          </c:yVal>
          <c:smooth val="1"/>
        </c:ser>
        <c:ser>
          <c:idx val="0"/>
          <c:order val="1"/>
          <c:tx>
            <c:v>quarter span load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'load quarter'!$H$10:$H$28</c:f>
              <c:numCache>
                <c:ptCount val="19"/>
                <c:pt idx="0">
                  <c:v>4.084809621278937</c:v>
                </c:pt>
                <c:pt idx="1">
                  <c:v>8.298935392578043</c:v>
                </c:pt>
                <c:pt idx="2">
                  <c:v>12.629042943427606</c:v>
                </c:pt>
                <c:pt idx="3">
                  <c:v>17.061409608720744</c:v>
                </c:pt>
                <c:pt idx="4">
                  <c:v>21.58198699397321</c:v>
                </c:pt>
                <c:pt idx="5">
                  <c:v>26.176459421946177</c:v>
                </c:pt>
                <c:pt idx="6">
                  <c:v>30.83030249334932</c:v>
                </c:pt>
                <c:pt idx="7">
                  <c:v>35.528857121416515</c:v>
                </c:pt>
                <c:pt idx="8">
                  <c:v>40.25731860045657</c:v>
                </c:pt>
                <c:pt idx="9">
                  <c:v>45.00078036085575</c:v>
                </c:pt>
                <c:pt idx="10">
                  <c:v>49.74428006629818</c:v>
                </c:pt>
                <c:pt idx="11">
                  <c:v>54.472844227357314</c:v>
                </c:pt>
                <c:pt idx="12">
                  <c:v>59.171533385886136</c:v>
                </c:pt>
                <c:pt idx="13">
                  <c:v>63.82548762108027</c:v>
                </c:pt>
                <c:pt idx="14">
                  <c:v>68.41997281652347</c:v>
                </c:pt>
                <c:pt idx="15">
                  <c:v>72.94043175773562</c:v>
                </c:pt>
                <c:pt idx="16">
                  <c:v>77.37253469768424</c:v>
                </c:pt>
                <c:pt idx="17">
                  <c:v>81.70223504256892</c:v>
                </c:pt>
                <c:pt idx="18">
                  <c:v>85.9158260244354</c:v>
                </c:pt>
              </c:numCache>
            </c:numRef>
          </c:xVal>
          <c:yVal>
            <c:numRef>
              <c:f>'load quarter'!$O$10:$O$28</c:f>
              <c:numCache>
                <c:ptCount val="19"/>
                <c:pt idx="0">
                  <c:v>-339.7766361112442</c:v>
                </c:pt>
                <c:pt idx="1">
                  <c:v>-280.57539111738805</c:v>
                </c:pt>
                <c:pt idx="2">
                  <c:v>107.77107600055125</c:v>
                </c:pt>
                <c:pt idx="3">
                  <c:v>733.2610055903466</c:v>
                </c:pt>
                <c:pt idx="4">
                  <c:v>1521.5481449410095</c:v>
                </c:pt>
                <c:pt idx="5">
                  <c:v>2394.697747340602</c:v>
                </c:pt>
                <c:pt idx="6">
                  <c:v>2165.9536691968074</c:v>
                </c:pt>
                <c:pt idx="7">
                  <c:v>1934.7764171162796</c:v>
                </c:pt>
                <c:pt idx="8">
                  <c:v>1686.6071497958935</c:v>
                </c:pt>
                <c:pt idx="9">
                  <c:v>1389.371568371578</c:v>
                </c:pt>
                <c:pt idx="10">
                  <c:v>1014.9564778311859</c:v>
                </c:pt>
                <c:pt idx="11">
                  <c:v>609.4148284647715</c:v>
                </c:pt>
                <c:pt idx="12">
                  <c:v>160.34078874327395</c:v>
                </c:pt>
                <c:pt idx="13">
                  <c:v>-312.17873595268395</c:v>
                </c:pt>
                <c:pt idx="14">
                  <c:v>-720.0926893151438</c:v>
                </c:pt>
                <c:pt idx="15">
                  <c:v>-1042.6378912146815</c:v>
                </c:pt>
                <c:pt idx="16">
                  <c:v>-1199.509705501467</c:v>
                </c:pt>
                <c:pt idx="17">
                  <c:v>-1133.1670961253649</c:v>
                </c:pt>
                <c:pt idx="18">
                  <c:v>-766.9814274607223</c:v>
                </c:pt>
              </c:numCache>
            </c:numRef>
          </c:yVal>
          <c:smooth val="1"/>
        </c:ser>
        <c:ser>
          <c:idx val="2"/>
          <c:order val="2"/>
          <c:tx>
            <c:v>qtr + ctr loads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'load both '!$H$10:$H$28</c:f>
              <c:numCache>
                <c:ptCount val="19"/>
                <c:pt idx="0">
                  <c:v>4.084707667524797</c:v>
                </c:pt>
                <c:pt idx="1">
                  <c:v>8.298764344610156</c:v>
                </c:pt>
                <c:pt idx="2">
                  <c:v>12.6288466208709</c:v>
                </c:pt>
                <c:pt idx="3">
                  <c:v>17.06122915162194</c:v>
                </c:pt>
                <c:pt idx="4">
                  <c:v>21.581851274188594</c:v>
                </c:pt>
                <c:pt idx="5">
                  <c:v>26.176380740934288</c:v>
                </c:pt>
                <c:pt idx="6">
                  <c:v>30.83027537623946</c:v>
                </c:pt>
                <c:pt idx="7">
                  <c:v>35.52886162713104</c:v>
                </c:pt>
                <c:pt idx="8">
                  <c:v>40.257328606664686</c:v>
                </c:pt>
                <c:pt idx="9">
                  <c:v>45.000775425934705</c:v>
                </c:pt>
                <c:pt idx="10">
                  <c:v>49.74426026316562</c:v>
                </c:pt>
                <c:pt idx="11">
                  <c:v>54.472829879324294</c:v>
                </c:pt>
                <c:pt idx="12">
                  <c:v>59.17154937195798</c:v>
                </c:pt>
                <c:pt idx="13">
                  <c:v>63.82555212003829</c:v>
                </c:pt>
                <c:pt idx="14">
                  <c:v>68.42009125589207</c:v>
                </c:pt>
                <c:pt idx="15">
                  <c:v>72.94059324799295</c:v>
                </c:pt>
                <c:pt idx="16">
                  <c:v>77.37271299810155</c:v>
                </c:pt>
                <c:pt idx="17">
                  <c:v>81.70239273064708</c:v>
                </c:pt>
                <c:pt idx="18">
                  <c:v>85.91592029223172</c:v>
                </c:pt>
              </c:numCache>
            </c:numRef>
          </c:xVal>
          <c:yVal>
            <c:numRef>
              <c:f>'load both '!$O$10:$O$28</c:f>
              <c:numCache>
                <c:ptCount val="19"/>
                <c:pt idx="0">
                  <c:v>-623.915756629212</c:v>
                </c:pt>
                <c:pt idx="1">
                  <c:v>-766.8198229951129</c:v>
                </c:pt>
                <c:pt idx="2">
                  <c:v>-476.85272980588775</c:v>
                </c:pt>
                <c:pt idx="3">
                  <c:v>154.11217551088984</c:v>
                </c:pt>
                <c:pt idx="4">
                  <c:v>1032.4598653697503</c:v>
                </c:pt>
                <c:pt idx="5">
                  <c:v>2098.827833229122</c:v>
                </c:pt>
                <c:pt idx="6">
                  <c:v>2160.47346085948</c:v>
                </c:pt>
                <c:pt idx="7">
                  <c:v>2298.053433340619</c:v>
                </c:pt>
                <c:pt idx="8">
                  <c:v>2484.3320175289564</c:v>
                </c:pt>
                <c:pt idx="9">
                  <c:v>2703.6914168029334</c:v>
                </c:pt>
                <c:pt idx="10">
                  <c:v>1795.5697094847567</c:v>
                </c:pt>
                <c:pt idx="11">
                  <c:v>927.1047499284091</c:v>
                </c:pt>
                <c:pt idx="12">
                  <c:v>120.60584389443906</c:v>
                </c:pt>
                <c:pt idx="13">
                  <c:v>-593.9527614518214</c:v>
                </c:pt>
                <c:pt idx="14">
                  <c:v>-1173.818556506867</c:v>
                </c:pt>
                <c:pt idx="15">
                  <c:v>-1579.5010944632759</c:v>
                </c:pt>
                <c:pt idx="16">
                  <c:v>-1739.2796555377288</c:v>
                </c:pt>
                <c:pt idx="17">
                  <c:v>-1614.8533893197925</c:v>
                </c:pt>
                <c:pt idx="18">
                  <c:v>-1037.562064487152</c:v>
                </c:pt>
              </c:numCache>
            </c:numRef>
          </c:yVal>
          <c:smooth val="1"/>
        </c:ser>
        <c:axId val="8964374"/>
        <c:axId val="13570503"/>
      </c:scatterChart>
      <c:valAx>
        <c:axId val="8964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70503"/>
        <c:crosses val="autoZero"/>
        <c:crossBetween val="midCat"/>
        <c:dispUnits/>
      </c:valAx>
      <c:valAx>
        <c:axId val="13570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M(x) Kn-m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9643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Axial Force (+ for compression)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'load center'!$P$9:$P$28</c:f>
              <c:numCache>
                <c:ptCount val="20"/>
                <c:pt idx="0">
                  <c:v>2.0422008477001468</c:v>
                </c:pt>
                <c:pt idx="1">
                  <c:v>6.191296455881104</c:v>
                </c:pt>
                <c:pt idx="2">
                  <c:v>10.463124622055142</c:v>
                </c:pt>
                <c:pt idx="3">
                  <c:v>14.844172955701497</c:v>
                </c:pt>
                <c:pt idx="4">
                  <c:v>19.320559635742107</c:v>
                </c:pt>
                <c:pt idx="5">
                  <c:v>23.87809577021044</c:v>
                </c:pt>
                <c:pt idx="6">
                  <c:v>28.502341048300337</c:v>
                </c:pt>
                <c:pt idx="7">
                  <c:v>33.178657434397536</c:v>
                </c:pt>
                <c:pt idx="8">
                  <c:v>37.89226036221613</c:v>
                </c:pt>
                <c:pt idx="9">
                  <c:v>42.62826789837774</c:v>
                </c:pt>
                <c:pt idx="10">
                  <c:v>47.371748178436725</c:v>
                </c:pt>
                <c:pt idx="11">
                  <c:v>52.10775609812809</c:v>
                </c:pt>
                <c:pt idx="12">
                  <c:v>56.82135994460296</c:v>
                </c:pt>
                <c:pt idx="13">
                  <c:v>61.49767790939261</c:v>
                </c:pt>
                <c:pt idx="14">
                  <c:v>66.12192521046006</c:v>
                </c:pt>
                <c:pt idx="15">
                  <c:v>70.67946300511943</c:v>
                </c:pt>
                <c:pt idx="16">
                  <c:v>75.15584973267586</c:v>
                </c:pt>
                <c:pt idx="17">
                  <c:v>79.53689498471547</c:v>
                </c:pt>
                <c:pt idx="18">
                  <c:v>83.80871708184986</c:v>
                </c:pt>
                <c:pt idx="19">
                  <c:v>87.95780456075389</c:v>
                </c:pt>
              </c:numCache>
            </c:numRef>
          </c:xVal>
          <c:yVal>
            <c:numRef>
              <c:f>'load center'!$Q$9:$Q$28</c:f>
              <c:numCache>
                <c:ptCount val="20"/>
                <c:pt idx="0">
                  <c:v>35528.90854274438</c:v>
                </c:pt>
                <c:pt idx="1">
                  <c:v>34668.81631457284</c:v>
                </c:pt>
                <c:pt idx="2">
                  <c:v>33895.89914704345</c:v>
                </c:pt>
                <c:pt idx="3">
                  <c:v>33213.1305733327</c:v>
                </c:pt>
                <c:pt idx="4">
                  <c:v>32624.592964464227</c:v>
                </c:pt>
                <c:pt idx="5">
                  <c:v>32132.77790188158</c:v>
                </c:pt>
                <c:pt idx="6">
                  <c:v>31738.612205498386</c:v>
                </c:pt>
                <c:pt idx="7">
                  <c:v>31442.07183264598</c:v>
                </c:pt>
                <c:pt idx="8">
                  <c:v>31243.286383718783</c:v>
                </c:pt>
                <c:pt idx="9">
                  <c:v>31143.36857171054</c:v>
                </c:pt>
                <c:pt idx="10">
                  <c:v>31143.480255633447</c:v>
                </c:pt>
                <c:pt idx="11">
                  <c:v>31243.494219361877</c:v>
                </c:pt>
                <c:pt idx="12">
                  <c:v>31442.401194169634</c:v>
                </c:pt>
                <c:pt idx="13">
                  <c:v>31739.22211787499</c:v>
                </c:pt>
                <c:pt idx="14">
                  <c:v>32133.337777304405</c:v>
                </c:pt>
                <c:pt idx="15">
                  <c:v>32624.24805070907</c:v>
                </c:pt>
                <c:pt idx="16">
                  <c:v>33211.136544812805</c:v>
                </c:pt>
                <c:pt idx="17">
                  <c:v>33892.2863182745</c:v>
                </c:pt>
                <c:pt idx="18">
                  <c:v>34665.31103236434</c:v>
                </c:pt>
                <c:pt idx="19">
                  <c:v>35527.84824690605</c:v>
                </c:pt>
              </c:numCache>
            </c:numRef>
          </c:yVal>
          <c:smooth val="1"/>
        </c:ser>
        <c:axId val="55025664"/>
        <c:axId val="25468929"/>
      </c:scatterChart>
      <c:valAx>
        <c:axId val="55025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468929"/>
        <c:crosses val="autoZero"/>
        <c:crossBetween val="midCat"/>
        <c:dispUnits/>
      </c:valAx>
      <c:valAx>
        <c:axId val="25468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Axial 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256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16</xdr:row>
      <xdr:rowOff>114300</xdr:rowOff>
    </xdr:from>
    <xdr:to>
      <xdr:col>13</xdr:col>
      <xdr:colOff>114300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3162300" y="2733675"/>
        <a:ext cx="53149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16</xdr:row>
      <xdr:rowOff>114300</xdr:rowOff>
    </xdr:from>
    <xdr:to>
      <xdr:col>13</xdr:col>
      <xdr:colOff>114300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3162300" y="2733675"/>
        <a:ext cx="53149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16</xdr:row>
      <xdr:rowOff>114300</xdr:rowOff>
    </xdr:from>
    <xdr:to>
      <xdr:col>13</xdr:col>
      <xdr:colOff>114300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3162300" y="2733675"/>
        <a:ext cx="53149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16</xdr:row>
      <xdr:rowOff>114300</xdr:rowOff>
    </xdr:from>
    <xdr:to>
      <xdr:col>13</xdr:col>
      <xdr:colOff>114300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3162300" y="2733675"/>
        <a:ext cx="53149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">
      <selection activeCell="G41" sqref="G41"/>
    </sheetView>
  </sheetViews>
  <sheetFormatPr defaultColWidth="9.140625" defaultRowHeight="12.75"/>
  <cols>
    <col min="10" max="10" width="12.421875" style="0" customWidth="1"/>
    <col min="12" max="12" width="12.421875" style="0" bestFit="1" customWidth="1"/>
    <col min="14" max="14" width="12.421875" style="0" bestFit="1" customWidth="1"/>
    <col min="16" max="16" width="12.421875" style="0" bestFit="1" customWidth="1"/>
    <col min="17" max="17" width="9.57421875" style="0" bestFit="1" customWidth="1"/>
  </cols>
  <sheetData>
    <row r="1" spans="1:6" ht="12.75">
      <c r="A1" t="s">
        <v>24</v>
      </c>
      <c r="F1" t="s">
        <v>27</v>
      </c>
    </row>
    <row r="2" ht="13.5" thickBot="1"/>
    <row r="3" spans="1:7" ht="12.75">
      <c r="A3" s="2" t="s">
        <v>25</v>
      </c>
      <c r="B3" s="5">
        <v>90</v>
      </c>
      <c r="C3" s="5" t="s">
        <v>18</v>
      </c>
      <c r="D3" s="11">
        <v>30000000</v>
      </c>
      <c r="E3" t="s">
        <v>35</v>
      </c>
      <c r="F3" t="s">
        <v>5</v>
      </c>
      <c r="G3">
        <f>(d^2/(4*h)+h)/2</f>
        <v>84.38461538461539</v>
      </c>
    </row>
    <row r="4" spans="1:14" ht="13.5" thickBot="1">
      <c r="A4" s="3" t="s">
        <v>26</v>
      </c>
      <c r="B4" s="6">
        <v>13</v>
      </c>
      <c r="C4" s="6" t="s">
        <v>16</v>
      </c>
      <c r="D4" s="4">
        <f>0.18*4^3/3</f>
        <v>3.84</v>
      </c>
      <c r="F4" t="s">
        <v>3</v>
      </c>
      <c r="G4">
        <f>d/2</f>
        <v>45</v>
      </c>
      <c r="J4" t="s">
        <v>6</v>
      </c>
      <c r="K4">
        <v>20</v>
      </c>
      <c r="M4" t="s">
        <v>8</v>
      </c>
      <c r="N4">
        <f>ATAN(d/2/(rr-h))</f>
        <v>0.5624644038365905</v>
      </c>
    </row>
    <row r="5" spans="3:14" ht="13.5" thickBot="1">
      <c r="C5" s="7" t="s">
        <v>17</v>
      </c>
      <c r="D5" s="8">
        <f>4*4*0.18</f>
        <v>2.88</v>
      </c>
      <c r="F5" t="s">
        <v>4</v>
      </c>
      <c r="G5">
        <f>SQRT(4*rr^2-d^2)/2</f>
        <v>71.38461538461539</v>
      </c>
      <c r="J5" t="s">
        <v>28</v>
      </c>
      <c r="K5">
        <f>2*rr*SIN(dto/2)</f>
        <v>4.745708605039827</v>
      </c>
      <c r="M5" t="s">
        <v>9</v>
      </c>
      <c r="N5">
        <f>2*to/(ns)</f>
        <v>0.056246440383659044</v>
      </c>
    </row>
    <row r="7" spans="2:17" ht="12.75">
      <c r="B7" t="s">
        <v>10</v>
      </c>
      <c r="E7" t="s">
        <v>11</v>
      </c>
      <c r="F7" t="s">
        <v>12</v>
      </c>
      <c r="Q7" t="s">
        <v>31</v>
      </c>
    </row>
    <row r="8" spans="1:17" ht="12.75">
      <c r="A8" t="s">
        <v>7</v>
      </c>
      <c r="B8" t="s">
        <v>2</v>
      </c>
      <c r="C8" t="s">
        <v>0</v>
      </c>
      <c r="D8" t="s">
        <v>1</v>
      </c>
      <c r="E8" t="s">
        <v>34</v>
      </c>
      <c r="F8" t="s">
        <v>30</v>
      </c>
      <c r="G8" t="s">
        <v>2</v>
      </c>
      <c r="H8" t="s">
        <v>22</v>
      </c>
      <c r="I8" t="s">
        <v>23</v>
      </c>
      <c r="J8" t="s">
        <v>13</v>
      </c>
      <c r="K8" t="s">
        <v>14</v>
      </c>
      <c r="L8" t="s">
        <v>15</v>
      </c>
      <c r="M8" t="s">
        <v>19</v>
      </c>
      <c r="N8" t="s">
        <v>20</v>
      </c>
      <c r="O8" t="s">
        <v>29</v>
      </c>
      <c r="P8" t="s">
        <v>33</v>
      </c>
      <c r="Q8" t="s">
        <v>32</v>
      </c>
    </row>
    <row r="9" spans="1:17" ht="12.75">
      <c r="A9">
        <v>0</v>
      </c>
      <c r="B9">
        <f aca="true" t="shared" si="0" ref="B9:B29">to-dto*(A9+1/2)</f>
        <v>0.5343411836447609</v>
      </c>
      <c r="C9">
        <v>0</v>
      </c>
      <c r="D9">
        <v>0</v>
      </c>
      <c r="E9" s="1">
        <f aca="true" t="shared" si="1" ref="E9:E19">-7500/20</f>
        <v>-375</v>
      </c>
      <c r="F9">
        <v>4.745315820584182</v>
      </c>
      <c r="G9">
        <v>0.5340707151049877</v>
      </c>
      <c r="H9">
        <v>0</v>
      </c>
      <c r="I9">
        <v>0</v>
      </c>
      <c r="M9">
        <f aca="true" t="shared" si="2" ref="M9:M28">e*a*(so-F9)^2/so/2</f>
        <v>1.4044014308602564</v>
      </c>
      <c r="P9">
        <f aca="true" t="shared" si="3" ref="P9:P28">(H9+H10)/2</f>
        <v>2.042246422578249</v>
      </c>
      <c r="Q9">
        <f aca="true" t="shared" si="4" ref="Q9:Q28">e*a*(so-F9)</f>
        <v>33936.57696773289</v>
      </c>
    </row>
    <row r="10" spans="1:17" ht="12.75">
      <c r="A10">
        <v>1</v>
      </c>
      <c r="B10">
        <f t="shared" si="0"/>
        <v>0.4780947432611019</v>
      </c>
      <c r="C10">
        <f aca="true" t="shared" si="5" ref="C10:C29">C9+so*COS(B9)</f>
        <v>4.084177394208691</v>
      </c>
      <c r="D10">
        <f aca="true" t="shared" si="6" ref="D10:D29">D9+so*SIN(B9)</f>
        <v>2.416866809856051</v>
      </c>
      <c r="E10" s="1">
        <f t="shared" si="1"/>
        <v>-375</v>
      </c>
      <c r="F10">
        <v>4.745325814308151</v>
      </c>
      <c r="G10">
        <v>0.4778189803622273</v>
      </c>
      <c r="H10">
        <f aca="true" t="shared" si="7" ref="H10:H29">H9+F9*COS(G9)</f>
        <v>4.084492845156498</v>
      </c>
      <c r="I10">
        <f aca="true" t="shared" si="8" ref="I10:I29">I9+F9*SIN(G9)</f>
        <v>2.4155621364295117</v>
      </c>
      <c r="J10">
        <f aca="true" t="shared" si="9" ref="J10:J28">2*(G9-G10)/(F9+F10)</f>
        <v>0.011854147887314799</v>
      </c>
      <c r="K10">
        <f aca="true" t="shared" si="10" ref="K10:K28">J10-1/rr</f>
        <v>3.6465199492567713E-06</v>
      </c>
      <c r="L10">
        <f aca="true" t="shared" si="11" ref="L10:L28">(so)*e*i*K10^2/2</f>
        <v>0.0036348018408238693</v>
      </c>
      <c r="M10">
        <f t="shared" si="2"/>
        <v>1.3338454335724264</v>
      </c>
      <c r="N10">
        <f aca="true" t="shared" si="12" ref="N10:N29">-E10*(I10-D10)</f>
        <v>-0.48925253495218923</v>
      </c>
      <c r="O10">
        <f aca="true" t="shared" si="13" ref="O10:O29">-e*i*K10</f>
        <v>-420.07909815438006</v>
      </c>
      <c r="P10">
        <f t="shared" si="3"/>
        <v>6.191417416031827</v>
      </c>
      <c r="Q10">
        <f t="shared" si="4"/>
        <v>33073.11921678888</v>
      </c>
    </row>
    <row r="11" spans="1:17" ht="12.75">
      <c r="A11">
        <v>2</v>
      </c>
      <c r="B11">
        <f t="shared" si="0"/>
        <v>0.42184830287744285</v>
      </c>
      <c r="C11">
        <f t="shared" si="5"/>
        <v>8.297764501097888</v>
      </c>
      <c r="D11">
        <f t="shared" si="6"/>
        <v>4.600312219433809</v>
      </c>
      <c r="E11" s="1">
        <f t="shared" si="1"/>
        <v>-375</v>
      </c>
      <c r="F11">
        <v>4.745334769178912</v>
      </c>
      <c r="G11">
        <v>0.42156183563808014</v>
      </c>
      <c r="H11">
        <f t="shared" si="7"/>
        <v>8.298341986907158</v>
      </c>
      <c r="I11">
        <f t="shared" si="8"/>
        <v>4.597669488166941</v>
      </c>
      <c r="J11">
        <f t="shared" si="9"/>
        <v>0.011855264284138405</v>
      </c>
      <c r="K11">
        <f t="shared" si="10"/>
        <v>4.762916772862655E-06</v>
      </c>
      <c r="L11">
        <f t="shared" si="11"/>
        <v>0.0062011114543150305</v>
      </c>
      <c r="M11">
        <f t="shared" si="2"/>
        <v>1.2721683823385528</v>
      </c>
      <c r="N11">
        <f t="shared" si="12"/>
        <v>-0.9910242250752432</v>
      </c>
      <c r="O11">
        <f t="shared" si="13"/>
        <v>-548.6880122337778</v>
      </c>
      <c r="P11">
        <f t="shared" si="3"/>
        <v>10.463284648448582</v>
      </c>
      <c r="Q11">
        <f t="shared" si="4"/>
        <v>32299.418383007607</v>
      </c>
    </row>
    <row r="12" spans="1:17" ht="12.75">
      <c r="A12">
        <v>3</v>
      </c>
      <c r="B12">
        <f t="shared" si="0"/>
        <v>0.3656018624937838</v>
      </c>
      <c r="C12">
        <f t="shared" si="5"/>
        <v>12.627434469045657</v>
      </c>
      <c r="D12">
        <f t="shared" si="6"/>
        <v>6.543430366279293</v>
      </c>
      <c r="E12" s="1">
        <f t="shared" si="1"/>
        <v>-375</v>
      </c>
      <c r="F12">
        <v>4.745342667321658</v>
      </c>
      <c r="G12">
        <v>0.36530986496494583</v>
      </c>
      <c r="H12">
        <f t="shared" si="7"/>
        <v>12.628227309990008</v>
      </c>
      <c r="I12">
        <f t="shared" si="8"/>
        <v>6.539394278277529</v>
      </c>
      <c r="J12">
        <f t="shared" si="9"/>
        <v>0.011854152888347598</v>
      </c>
      <c r="K12">
        <f t="shared" si="10"/>
        <v>3.6515209820564554E-06</v>
      </c>
      <c r="L12">
        <f t="shared" si="11"/>
        <v>0.0036447786013838377</v>
      </c>
      <c r="M12">
        <f t="shared" si="2"/>
        <v>1.2189812624480976</v>
      </c>
      <c r="N12">
        <f t="shared" si="12"/>
        <v>-1.5135330006615932</v>
      </c>
      <c r="O12">
        <f t="shared" si="13"/>
        <v>-420.65521713290366</v>
      </c>
      <c r="P12">
        <f t="shared" si="3"/>
        <v>14.84433344192049</v>
      </c>
      <c r="Q12">
        <f t="shared" si="4"/>
        <v>31617.018849749456</v>
      </c>
    </row>
    <row r="13" spans="1:17" ht="12.75">
      <c r="A13">
        <v>4</v>
      </c>
      <c r="B13">
        <f t="shared" si="0"/>
        <v>0.3093554221101248</v>
      </c>
      <c r="C13">
        <f t="shared" si="5"/>
        <v>17.059493296297422</v>
      </c>
      <c r="D13">
        <f t="shared" si="6"/>
        <v>8.24007550175364</v>
      </c>
      <c r="E13" s="1">
        <f t="shared" si="1"/>
        <v>-375</v>
      </c>
      <c r="F13">
        <v>4.74534948816735</v>
      </c>
      <c r="G13">
        <v>0.3090696281356244</v>
      </c>
      <c r="H13">
        <f t="shared" si="7"/>
        <v>17.06043957385097</v>
      </c>
      <c r="I13">
        <f t="shared" si="8"/>
        <v>8.234614464089358</v>
      </c>
      <c r="J13">
        <f t="shared" si="9"/>
        <v>0.011851661798300878</v>
      </c>
      <c r="K13">
        <f t="shared" si="10"/>
        <v>1.1604309353360764E-06</v>
      </c>
      <c r="L13">
        <f t="shared" si="11"/>
        <v>0.0003680968894410453</v>
      </c>
      <c r="M13">
        <f t="shared" si="2"/>
        <v>1.1739627013528613</v>
      </c>
      <c r="N13">
        <f t="shared" si="12"/>
        <v>-2.047889124106028</v>
      </c>
      <c r="O13">
        <f t="shared" si="13"/>
        <v>-133.681643750716</v>
      </c>
      <c r="P13">
        <f t="shared" si="3"/>
        <v>19.320689812763618</v>
      </c>
      <c r="Q13">
        <f t="shared" si="4"/>
        <v>31027.697781976825</v>
      </c>
    </row>
    <row r="14" spans="1:17" ht="12.75">
      <c r="A14">
        <v>5</v>
      </c>
      <c r="B14">
        <f t="shared" si="0"/>
        <v>0.25310898172646573</v>
      </c>
      <c r="C14">
        <f t="shared" si="5"/>
        <v>21.579923142739258</v>
      </c>
      <c r="D14">
        <f t="shared" si="6"/>
        <v>9.684881428979473</v>
      </c>
      <c r="E14" s="1">
        <f t="shared" si="1"/>
        <v>-375</v>
      </c>
      <c r="F14">
        <v>4.745355208820873</v>
      </c>
      <c r="G14">
        <v>0.252844712293613</v>
      </c>
      <c r="H14">
        <f t="shared" si="7"/>
        <v>21.58094005167627</v>
      </c>
      <c r="I14">
        <f t="shared" si="8"/>
        <v>9.678019187246166</v>
      </c>
      <c r="J14">
        <f t="shared" si="9"/>
        <v>0.011848417506837778</v>
      </c>
      <c r="K14">
        <f t="shared" si="10"/>
        <v>-2.0838605277635758E-06</v>
      </c>
      <c r="L14">
        <f t="shared" si="11"/>
        <v>0.0011870276859085804</v>
      </c>
      <c r="M14">
        <f t="shared" si="2"/>
        <v>1.1368586637074902</v>
      </c>
      <c r="N14">
        <f t="shared" si="12"/>
        <v>-2.5733406499901523</v>
      </c>
      <c r="O14">
        <f t="shared" si="13"/>
        <v>240.06073279836392</v>
      </c>
      <c r="P14">
        <f t="shared" si="3"/>
        <v>23.878177681609817</v>
      </c>
      <c r="Q14">
        <f t="shared" si="4"/>
        <v>30533.43331763756</v>
      </c>
    </row>
    <row r="15" spans="1:17" ht="12.75">
      <c r="A15">
        <v>6</v>
      </c>
      <c r="B15">
        <f t="shared" si="0"/>
        <v>0.19686254134280667</v>
      </c>
      <c r="C15">
        <f t="shared" si="5"/>
        <v>26.17442666591623</v>
      </c>
      <c r="D15">
        <f t="shared" si="6"/>
        <v>10.873278475199072</v>
      </c>
      <c r="E15" s="1">
        <f t="shared" si="1"/>
        <v>-375</v>
      </c>
      <c r="F15">
        <v>4.745359805741247</v>
      </c>
      <c r="G15">
        <v>0.19663603930785636</v>
      </c>
      <c r="H15">
        <f t="shared" si="7"/>
        <v>26.175415311543365</v>
      </c>
      <c r="I15">
        <f t="shared" si="8"/>
        <v>10.86511359981518</v>
      </c>
      <c r="J15">
        <f t="shared" si="9"/>
        <v>0.011844981732042867</v>
      </c>
      <c r="K15">
        <f t="shared" si="10"/>
        <v>-5.519635322675381E-06</v>
      </c>
      <c r="L15">
        <f t="shared" si="11"/>
        <v>0.008328069141612476</v>
      </c>
      <c r="M15">
        <f t="shared" si="2"/>
        <v>1.1074748804050762</v>
      </c>
      <c r="N15">
        <f t="shared" si="12"/>
        <v>-3.061828268959621</v>
      </c>
      <c r="O15">
        <f t="shared" si="13"/>
        <v>635.861989172204</v>
      </c>
      <c r="P15">
        <f t="shared" si="3"/>
        <v>28.50237212350453</v>
      </c>
      <c r="Q15">
        <f t="shared" si="4"/>
        <v>30136.259397312417</v>
      </c>
    </row>
    <row r="16" spans="1:17" ht="12.75">
      <c r="A16">
        <v>7</v>
      </c>
      <c r="B16">
        <f t="shared" si="0"/>
        <v>0.14061610095914762</v>
      </c>
      <c r="C16">
        <f t="shared" si="5"/>
        <v>30.82847224106858</v>
      </c>
      <c r="D16">
        <f t="shared" si="6"/>
        <v>11.801507944863692</v>
      </c>
      <c r="E16" s="1">
        <f t="shared" si="1"/>
        <v>-375</v>
      </c>
      <c r="F16">
        <v>4.745363260899238</v>
      </c>
      <c r="G16">
        <v>0.1404421611938414</v>
      </c>
      <c r="H16">
        <f t="shared" si="7"/>
        <v>30.829328935465693</v>
      </c>
      <c r="I16">
        <f t="shared" si="8"/>
        <v>11.79222074950972</v>
      </c>
      <c r="J16">
        <f t="shared" si="9"/>
        <v>0.011841853928186825</v>
      </c>
      <c r="K16">
        <f t="shared" si="10"/>
        <v>-8.647439178716479E-06</v>
      </c>
      <c r="L16">
        <f t="shared" si="11"/>
        <v>0.020440832708236423</v>
      </c>
      <c r="M16">
        <f t="shared" si="2"/>
        <v>1.0856425642060732</v>
      </c>
      <c r="N16">
        <f t="shared" si="12"/>
        <v>-3.4826982577393917</v>
      </c>
      <c r="O16">
        <f t="shared" si="13"/>
        <v>996.1849933881384</v>
      </c>
      <c r="P16">
        <f t="shared" si="3"/>
        <v>33.17864961443151</v>
      </c>
      <c r="Q16">
        <f t="shared" si="4"/>
        <v>29837.733746828122</v>
      </c>
    </row>
    <row r="17" spans="1:17" ht="12.75">
      <c r="A17">
        <v>8</v>
      </c>
      <c r="B17">
        <f t="shared" si="0"/>
        <v>0.08436966057548861</v>
      </c>
      <c r="C17">
        <f t="shared" si="5"/>
        <v>35.5273399221626</v>
      </c>
      <c r="D17">
        <f t="shared" si="6"/>
        <v>12.46663400774139</v>
      </c>
      <c r="E17" s="1">
        <f t="shared" si="1"/>
        <v>-375</v>
      </c>
      <c r="F17">
        <v>4.745365565197982</v>
      </c>
      <c r="G17">
        <v>0.08426012763332136</v>
      </c>
      <c r="H17">
        <f t="shared" si="7"/>
        <v>35.527970293397324</v>
      </c>
      <c r="I17">
        <f t="shared" si="8"/>
        <v>12.456481140792109</v>
      </c>
      <c r="J17">
        <f t="shared" si="9"/>
        <v>0.011839350715833953</v>
      </c>
      <c r="K17">
        <f t="shared" si="10"/>
        <v>-1.1150651531588798E-05</v>
      </c>
      <c r="L17">
        <f t="shared" si="11"/>
        <v>0.03398787712499266</v>
      </c>
      <c r="M17">
        <f t="shared" si="2"/>
        <v>1.0712030621107094</v>
      </c>
      <c r="N17">
        <f t="shared" si="12"/>
        <v>-3.8073251059806967</v>
      </c>
      <c r="O17">
        <f t="shared" si="13"/>
        <v>1284.5550564390296</v>
      </c>
      <c r="P17">
        <f t="shared" si="3"/>
        <v>37.89223530815303</v>
      </c>
      <c r="Q17">
        <f t="shared" si="4"/>
        <v>29638.64233536242</v>
      </c>
    </row>
    <row r="18" spans="1:17" ht="12.75">
      <c r="A18">
        <v>9</v>
      </c>
      <c r="B18">
        <f t="shared" si="0"/>
        <v>0.028123220191829557</v>
      </c>
      <c r="C18">
        <f t="shared" si="5"/>
        <v>40.25616799854925</v>
      </c>
      <c r="D18">
        <f t="shared" si="6"/>
        <v>12.866552984443324</v>
      </c>
      <c r="E18" s="1">
        <f t="shared" si="1"/>
        <v>-375</v>
      </c>
      <c r="F18">
        <v>4.745366718471017</v>
      </c>
      <c r="G18">
        <v>0.028085545261143225</v>
      </c>
      <c r="H18">
        <f t="shared" si="7"/>
        <v>40.25650032290875</v>
      </c>
      <c r="I18">
        <f t="shared" si="8"/>
        <v>12.855853282253507</v>
      </c>
      <c r="J18">
        <f t="shared" si="9"/>
        <v>0.01183777619959621</v>
      </c>
      <c r="K18">
        <f t="shared" si="10"/>
        <v>-1.2725167769331303E-05</v>
      </c>
      <c r="L18">
        <f t="shared" si="11"/>
        <v>0.04426399266995345</v>
      </c>
      <c r="M18">
        <f t="shared" si="2"/>
        <v>1.0640125680980763</v>
      </c>
      <c r="N18">
        <f t="shared" si="12"/>
        <v>-4.012388321181115</v>
      </c>
      <c r="O18">
        <f t="shared" si="13"/>
        <v>1465.939327026966</v>
      </c>
      <c r="P18">
        <f t="shared" si="3"/>
        <v>42.62824795988531</v>
      </c>
      <c r="Q18">
        <f t="shared" si="4"/>
        <v>29538.99954518988</v>
      </c>
    </row>
    <row r="19" spans="1:17" ht="12.75">
      <c r="A19">
        <v>10</v>
      </c>
      <c r="B19">
        <f t="shared" si="0"/>
        <v>-0.028123220191829446</v>
      </c>
      <c r="C19">
        <f t="shared" si="5"/>
        <v>44.999999999999986</v>
      </c>
      <c r="D19">
        <f t="shared" si="6"/>
        <v>12.999999999999996</v>
      </c>
      <c r="E19" s="1">
        <f t="shared" si="1"/>
        <v>-375</v>
      </c>
      <c r="F19">
        <v>4.745366721347949</v>
      </c>
      <c r="G19">
        <v>-0.028086417898534298</v>
      </c>
      <c r="H19">
        <f t="shared" si="7"/>
        <v>44.999995596861865</v>
      </c>
      <c r="I19">
        <f t="shared" si="8"/>
        <v>12.989111973365269</v>
      </c>
      <c r="J19">
        <f t="shared" si="9"/>
        <v>0.011837222805985582</v>
      </c>
      <c r="K19">
        <f t="shared" si="10"/>
        <v>-1.3278561379960127E-05</v>
      </c>
      <c r="L19">
        <f t="shared" si="11"/>
        <v>0.04819762102704745</v>
      </c>
      <c r="M19">
        <f t="shared" si="2"/>
        <v>1.063994661109586</v>
      </c>
      <c r="N19">
        <f t="shared" si="12"/>
        <v>-4.083009988022912</v>
      </c>
      <c r="O19">
        <f t="shared" si="13"/>
        <v>1529.6902709714066</v>
      </c>
      <c r="P19">
        <f t="shared" si="3"/>
        <v>47.37174317713216</v>
      </c>
      <c r="Q19">
        <f t="shared" si="4"/>
        <v>29538.75097822447</v>
      </c>
    </row>
    <row r="20" spans="1:17" ht="12.75">
      <c r="A20">
        <v>11</v>
      </c>
      <c r="B20">
        <f t="shared" si="0"/>
        <v>-0.08436966057548856</v>
      </c>
      <c r="C20">
        <f t="shared" si="5"/>
        <v>49.74383200145072</v>
      </c>
      <c r="D20">
        <f t="shared" si="6"/>
        <v>12.866552984443326</v>
      </c>
      <c r="E20" s="1">
        <f aca="true" t="shared" si="14" ref="E20:E29">-7500/20</f>
        <v>-375</v>
      </c>
      <c r="F20">
        <v>4.745365571350248</v>
      </c>
      <c r="G20">
        <v>-0.0842611443284367</v>
      </c>
      <c r="H20">
        <f t="shared" si="7"/>
        <v>49.743490757402455</v>
      </c>
      <c r="I20">
        <f t="shared" si="8"/>
        <v>12.855849142821425</v>
      </c>
      <c r="J20">
        <f t="shared" si="9"/>
        <v>0.011837806545891316</v>
      </c>
      <c r="K20">
        <f t="shared" si="10"/>
        <v>-1.2694821474226042E-05</v>
      </c>
      <c r="L20">
        <f t="shared" si="11"/>
        <v>0.04405312762590247</v>
      </c>
      <c r="M20">
        <f t="shared" si="2"/>
        <v>1.0711646393644536</v>
      </c>
      <c r="N20">
        <f t="shared" si="12"/>
        <v>-4.013940608212696</v>
      </c>
      <c r="O20">
        <f t="shared" si="13"/>
        <v>1462.4434338308401</v>
      </c>
      <c r="P20">
        <f t="shared" si="3"/>
        <v>52.10775557220231</v>
      </c>
      <c r="Q20">
        <f t="shared" si="4"/>
        <v>29638.110779634986</v>
      </c>
    </row>
    <row r="21" spans="1:17" ht="12.75">
      <c r="A21">
        <v>12</v>
      </c>
      <c r="B21">
        <f t="shared" si="0"/>
        <v>-0.14061610095914756</v>
      </c>
      <c r="C21">
        <f t="shared" si="5"/>
        <v>54.472660077837375</v>
      </c>
      <c r="D21">
        <f t="shared" si="6"/>
        <v>12.466634007741392</v>
      </c>
      <c r="E21" s="1">
        <f t="shared" si="14"/>
        <v>-375</v>
      </c>
      <c r="F21">
        <v>4.745363266381645</v>
      </c>
      <c r="G21">
        <v>-0.14044343646832902</v>
      </c>
      <c r="H21">
        <f t="shared" si="7"/>
        <v>54.47202038700217</v>
      </c>
      <c r="I21">
        <f t="shared" si="8"/>
        <v>12.456472193369066</v>
      </c>
      <c r="J21">
        <f t="shared" si="9"/>
        <v>0.011839405192261046</v>
      </c>
      <c r="K21">
        <f t="shared" si="10"/>
        <v>-1.109617510449551E-05</v>
      </c>
      <c r="L21">
        <f t="shared" si="11"/>
        <v>0.033656593295159756</v>
      </c>
      <c r="M21">
        <f t="shared" si="2"/>
        <v>1.0856080948988616</v>
      </c>
      <c r="N21">
        <f t="shared" si="12"/>
        <v>-3.8106803896222896</v>
      </c>
      <c r="O21">
        <f t="shared" si="13"/>
        <v>1278.2793720378827</v>
      </c>
      <c r="P21">
        <f t="shared" si="3"/>
        <v>56.82134064512312</v>
      </c>
      <c r="Q21">
        <f t="shared" si="4"/>
        <v>29837.260066904037</v>
      </c>
    </row>
    <row r="22" spans="1:17" ht="12.75">
      <c r="A22">
        <v>13</v>
      </c>
      <c r="B22">
        <f t="shared" si="0"/>
        <v>-0.19686254134280667</v>
      </c>
      <c r="C22">
        <f t="shared" si="5"/>
        <v>59.17152775893139</v>
      </c>
      <c r="D22">
        <f t="shared" si="6"/>
        <v>11.801507944863696</v>
      </c>
      <c r="E22" s="1">
        <f t="shared" si="14"/>
        <v>-375</v>
      </c>
      <c r="F22">
        <v>4.745359806891258</v>
      </c>
      <c r="G22">
        <v>-0.1966373725505602</v>
      </c>
      <c r="H22">
        <f t="shared" si="7"/>
        <v>59.17066090324408</v>
      </c>
      <c r="I22">
        <f t="shared" si="8"/>
        <v>11.79220580926233</v>
      </c>
      <c r="J22">
        <f t="shared" si="9"/>
        <v>0.011841866135675278</v>
      </c>
      <c r="K22">
        <f t="shared" si="10"/>
        <v>-8.635231690264089E-06</v>
      </c>
      <c r="L22">
        <f t="shared" si="11"/>
        <v>0.020383161276513115</v>
      </c>
      <c r="M22">
        <f t="shared" si="2"/>
        <v>1.1074675775985015</v>
      </c>
      <c r="N22">
        <f t="shared" si="12"/>
        <v>-3.488300850512438</v>
      </c>
      <c r="O22">
        <f t="shared" si="13"/>
        <v>994.778690718423</v>
      </c>
      <c r="P22">
        <f t="shared" si="3"/>
        <v>61.497617097737674</v>
      </c>
      <c r="Q22">
        <f t="shared" si="4"/>
        <v>30136.16003630659</v>
      </c>
    </row>
    <row r="23" spans="1:17" ht="12.75">
      <c r="A23">
        <v>14</v>
      </c>
      <c r="B23">
        <f t="shared" si="0"/>
        <v>-0.2531089817264657</v>
      </c>
      <c r="C23">
        <f t="shared" si="5"/>
        <v>63.82557333408374</v>
      </c>
      <c r="D23">
        <f t="shared" si="6"/>
        <v>10.873278475199076</v>
      </c>
      <c r="E23" s="1">
        <f t="shared" si="14"/>
        <v>-375</v>
      </c>
      <c r="F23">
        <v>4.745355201673739</v>
      </c>
      <c r="G23">
        <v>-0.2528457919654356</v>
      </c>
      <c r="H23">
        <f t="shared" si="7"/>
        <v>63.82457329223128</v>
      </c>
      <c r="I23">
        <f t="shared" si="8"/>
        <v>10.865092454547547</v>
      </c>
      <c r="J23">
        <f t="shared" si="9"/>
        <v>0.011844928303958027</v>
      </c>
      <c r="K23">
        <f t="shared" si="10"/>
        <v>-5.573063407515386E-06</v>
      </c>
      <c r="L23">
        <f t="shared" si="11"/>
        <v>0.008490074872056642</v>
      </c>
      <c r="M23">
        <f t="shared" si="2"/>
        <v>1.1369046481432394</v>
      </c>
      <c r="N23">
        <f t="shared" si="12"/>
        <v>-3.069757744323276</v>
      </c>
      <c r="O23">
        <f t="shared" si="13"/>
        <v>642.0169045457724</v>
      </c>
      <c r="P23">
        <f t="shared" si="3"/>
        <v>66.12181027786735</v>
      </c>
      <c r="Q23">
        <f t="shared" si="4"/>
        <v>30534.050829976422</v>
      </c>
    </row>
    <row r="24" spans="1:17" ht="12.75">
      <c r="A24">
        <v>15</v>
      </c>
      <c r="B24">
        <f t="shared" si="0"/>
        <v>-0.3093554221101247</v>
      </c>
      <c r="C24">
        <f t="shared" si="5"/>
        <v>68.42007685726071</v>
      </c>
      <c r="D24">
        <f t="shared" si="6"/>
        <v>9.684881428979477</v>
      </c>
      <c r="E24" s="1">
        <f t="shared" si="14"/>
        <v>-375</v>
      </c>
      <c r="F24">
        <v>4.745349470057203</v>
      </c>
      <c r="G24">
        <v>-0.3090700351944791</v>
      </c>
      <c r="H24">
        <f t="shared" si="7"/>
        <v>68.41904726350342</v>
      </c>
      <c r="I24">
        <f t="shared" si="8"/>
        <v>9.677993083241676</v>
      </c>
      <c r="J24">
        <f t="shared" si="9"/>
        <v>0.011848275796951793</v>
      </c>
      <c r="K24">
        <f t="shared" si="10"/>
        <v>-2.2255704137490173E-06</v>
      </c>
      <c r="L24">
        <f t="shared" si="11"/>
        <v>0.0013539612346295355</v>
      </c>
      <c r="M24">
        <f t="shared" si="2"/>
        <v>1.1740811094533685</v>
      </c>
      <c r="N24">
        <f t="shared" si="12"/>
        <v>-2.5831296516753977</v>
      </c>
      <c r="O24">
        <f t="shared" si="13"/>
        <v>256.3857116638868</v>
      </c>
      <c r="P24">
        <f t="shared" si="3"/>
        <v>70.67929720001453</v>
      </c>
      <c r="Q24">
        <f t="shared" si="4"/>
        <v>31029.262498691423</v>
      </c>
    </row>
    <row r="25" spans="1:17" ht="12.75">
      <c r="A25">
        <v>16</v>
      </c>
      <c r="B25">
        <f t="shared" si="0"/>
        <v>-0.3656018624937838</v>
      </c>
      <c r="C25">
        <f t="shared" si="5"/>
        <v>72.94050670370254</v>
      </c>
      <c r="D25">
        <f t="shared" si="6"/>
        <v>8.240075501753644</v>
      </c>
      <c r="E25" s="1">
        <f t="shared" si="14"/>
        <v>-375</v>
      </c>
      <c r="F25">
        <v>4.745342639031353</v>
      </c>
      <c r="G25">
        <v>-0.36530929135466894</v>
      </c>
      <c r="H25">
        <f t="shared" si="7"/>
        <v>72.93954713652563</v>
      </c>
      <c r="I25">
        <f t="shared" si="8"/>
        <v>8.234586525483856</v>
      </c>
      <c r="J25">
        <f t="shared" si="9"/>
        <v>0.011851455197104859</v>
      </c>
      <c r="K25">
        <f t="shared" si="10"/>
        <v>9.538297393169026E-07</v>
      </c>
      <c r="L25">
        <f t="shared" si="11"/>
        <v>0.0002486939784121024</v>
      </c>
      <c r="M25">
        <f t="shared" si="2"/>
        <v>1.2191697463526663</v>
      </c>
      <c r="N25">
        <f t="shared" si="12"/>
        <v>-2.0583661011706056</v>
      </c>
      <c r="O25">
        <f t="shared" si="13"/>
        <v>-109.88118596930718</v>
      </c>
      <c r="P25">
        <f t="shared" si="3"/>
        <v>75.15565374144185</v>
      </c>
      <c r="Q25">
        <f t="shared" si="4"/>
        <v>31619.463132119563</v>
      </c>
    </row>
    <row r="26" spans="1:17" ht="12.75">
      <c r="A26">
        <v>17</v>
      </c>
      <c r="B26">
        <f t="shared" si="0"/>
        <v>-0.4218483028774428</v>
      </c>
      <c r="C26">
        <f t="shared" si="5"/>
        <v>77.3725655309543</v>
      </c>
      <c r="D26">
        <f t="shared" si="6"/>
        <v>6.5434303662792965</v>
      </c>
      <c r="E26" s="1">
        <f t="shared" si="14"/>
        <v>-375</v>
      </c>
      <c r="F26">
        <v>4.745334736597419</v>
      </c>
      <c r="G26">
        <v>-0.4215602566943582</v>
      </c>
      <c r="H26">
        <f t="shared" si="7"/>
        <v>77.37176034635807</v>
      </c>
      <c r="I26">
        <f t="shared" si="8"/>
        <v>6.539368892141188</v>
      </c>
      <c r="J26">
        <f t="shared" si="9"/>
        <v>0.011853941107330613</v>
      </c>
      <c r="K26">
        <f t="shared" si="10"/>
        <v>3.439739965071034E-06</v>
      </c>
      <c r="L26">
        <f t="shared" si="11"/>
        <v>0.003234258858556533</v>
      </c>
      <c r="M26">
        <f t="shared" si="2"/>
        <v>1.2723901425060145</v>
      </c>
      <c r="N26">
        <f t="shared" si="12"/>
        <v>-1.5230528017906586</v>
      </c>
      <c r="O26">
        <f t="shared" si="13"/>
        <v>-396.25804397618316</v>
      </c>
      <c r="P26">
        <f t="shared" si="3"/>
        <v>79.53670452596936</v>
      </c>
      <c r="Q26">
        <f t="shared" si="4"/>
        <v>32302.233424007907</v>
      </c>
    </row>
    <row r="27" spans="1:17" ht="12.75">
      <c r="A27">
        <v>18</v>
      </c>
      <c r="B27">
        <f t="shared" si="0"/>
        <v>-0.4780947432611018</v>
      </c>
      <c r="C27">
        <f t="shared" si="5"/>
        <v>81.70223549890207</v>
      </c>
      <c r="D27">
        <f t="shared" si="6"/>
        <v>4.600312219433812</v>
      </c>
      <c r="E27" s="1">
        <f t="shared" si="14"/>
        <v>-375</v>
      </c>
      <c r="F27">
        <v>4.745325786538917</v>
      </c>
      <c r="G27">
        <v>-0.4778165014847778</v>
      </c>
      <c r="H27">
        <f t="shared" si="7"/>
        <v>81.70164870558065</v>
      </c>
      <c r="I27">
        <f t="shared" si="8"/>
        <v>4.597650952010114</v>
      </c>
      <c r="J27">
        <f t="shared" si="9"/>
        <v>0.011855074713351737</v>
      </c>
      <c r="K27">
        <f t="shared" si="10"/>
        <v>4.573345986195326E-06</v>
      </c>
      <c r="L27">
        <f t="shared" si="11"/>
        <v>0.005717309041523306</v>
      </c>
      <c r="M27">
        <f t="shared" si="2"/>
        <v>1.3340389659985998</v>
      </c>
      <c r="N27">
        <f t="shared" si="12"/>
        <v>-0.9979752838867872</v>
      </c>
      <c r="O27">
        <f t="shared" si="13"/>
        <v>-526.8494576097016</v>
      </c>
      <c r="P27">
        <f t="shared" si="3"/>
        <v>83.80857596870831</v>
      </c>
      <c r="Q27">
        <f t="shared" si="4"/>
        <v>33075.5184786085</v>
      </c>
    </row>
    <row r="28" spans="1:17" ht="12.75">
      <c r="A28">
        <v>19</v>
      </c>
      <c r="B28">
        <f t="shared" si="0"/>
        <v>-0.5343411836447609</v>
      </c>
      <c r="C28">
        <f t="shared" si="5"/>
        <v>85.91582260579126</v>
      </c>
      <c r="D28">
        <f t="shared" si="6"/>
        <v>2.416866809856055</v>
      </c>
      <c r="E28" s="1">
        <f t="shared" si="14"/>
        <v>-375</v>
      </c>
      <c r="F28">
        <v>4.745315805521749</v>
      </c>
      <c r="G28">
        <v>-0.5340687635812345</v>
      </c>
      <c r="H28">
        <f t="shared" si="7"/>
        <v>85.91550323183596</v>
      </c>
      <c r="I28">
        <f t="shared" si="8"/>
        <v>2.4155540586644433</v>
      </c>
      <c r="J28">
        <f t="shared" si="9"/>
        <v>0.01185425907211882</v>
      </c>
      <c r="K28">
        <f t="shared" si="10"/>
        <v>3.757704753278371E-06</v>
      </c>
      <c r="L28">
        <f t="shared" si="11"/>
        <v>0.003859836067205436</v>
      </c>
      <c r="M28">
        <f t="shared" si="2"/>
        <v>1.404509144431214</v>
      </c>
      <c r="N28">
        <f t="shared" si="12"/>
        <v>-0.4922816968543353</v>
      </c>
      <c r="O28">
        <f t="shared" si="13"/>
        <v>-432.88758757766834</v>
      </c>
      <c r="P28">
        <f t="shared" si="3"/>
        <v>87.95775200494131</v>
      </c>
      <c r="Q28">
        <f t="shared" si="4"/>
        <v>33937.878361950876</v>
      </c>
    </row>
    <row r="29" spans="1:15" ht="12.75">
      <c r="A29">
        <v>20</v>
      </c>
      <c r="B29">
        <f t="shared" si="0"/>
        <v>-0.59058762402842</v>
      </c>
      <c r="C29">
        <f t="shared" si="5"/>
        <v>89.99999999999996</v>
      </c>
      <c r="D29">
        <f t="shared" si="6"/>
        <v>3.9968028886505635E-15</v>
      </c>
      <c r="E29" s="1">
        <f t="shared" si="14"/>
        <v>-375</v>
      </c>
      <c r="F29">
        <v>4.745708605039827</v>
      </c>
      <c r="G29">
        <v>-0.59058762402842</v>
      </c>
      <c r="H29">
        <f t="shared" si="7"/>
        <v>90.00000077804668</v>
      </c>
      <c r="I29">
        <f t="shared" si="8"/>
        <v>-9.910828469017474E-08</v>
      </c>
      <c r="N29">
        <f t="shared" si="12"/>
        <v>-3.716560825761661E-05</v>
      </c>
      <c r="O29">
        <f t="shared" si="13"/>
        <v>0</v>
      </c>
    </row>
    <row r="31" ht="13.5" thickBot="1"/>
    <row r="32" spans="1:2" ht="13.5" thickBot="1">
      <c r="A32" s="9" t="s">
        <v>21</v>
      </c>
      <c r="B32" s="10">
        <f>SUM(L10:L29)+SUM(M9:M28)+SUM(N10:N29)</f>
        <v>-24.070680865975884</v>
      </c>
    </row>
    <row r="35" spans="1:3" ht="12.75">
      <c r="A35" t="s">
        <v>36</v>
      </c>
      <c r="B35">
        <f>MAX(O10:O28)</f>
        <v>1529.6902709714066</v>
      </c>
      <c r="C35" t="s">
        <v>37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B39" sqref="B39"/>
    </sheetView>
  </sheetViews>
  <sheetFormatPr defaultColWidth="9.140625" defaultRowHeight="12.75"/>
  <cols>
    <col min="10" max="10" width="12.421875" style="0" customWidth="1"/>
    <col min="12" max="12" width="12.421875" style="0" bestFit="1" customWidth="1"/>
    <col min="14" max="14" width="12.421875" style="0" bestFit="1" customWidth="1"/>
    <col min="16" max="16" width="12.421875" style="0" bestFit="1" customWidth="1"/>
    <col min="17" max="17" width="9.57421875" style="0" bestFit="1" customWidth="1"/>
  </cols>
  <sheetData>
    <row r="1" spans="1:6" ht="12.75">
      <c r="A1" t="s">
        <v>24</v>
      </c>
      <c r="F1" t="s">
        <v>27</v>
      </c>
    </row>
    <row r="2" ht="13.5" thickBot="1"/>
    <row r="3" spans="1:7" ht="12.75">
      <c r="A3" s="2" t="s">
        <v>25</v>
      </c>
      <c r="B3" s="5">
        <v>90</v>
      </c>
      <c r="C3" s="5" t="s">
        <v>18</v>
      </c>
      <c r="D3" s="11">
        <v>30000000</v>
      </c>
      <c r="E3" t="s">
        <v>35</v>
      </c>
      <c r="F3" t="s">
        <v>5</v>
      </c>
      <c r="G3">
        <f>(d^2/(4*h)+h)/2</f>
        <v>84.38461538461539</v>
      </c>
    </row>
    <row r="4" spans="1:14" ht="13.5" thickBot="1">
      <c r="A4" s="3" t="s">
        <v>26</v>
      </c>
      <c r="B4" s="6">
        <v>13</v>
      </c>
      <c r="C4" s="6" t="s">
        <v>16</v>
      </c>
      <c r="D4" s="4">
        <f>0.18*4^3/3</f>
        <v>3.84</v>
      </c>
      <c r="F4" t="s">
        <v>3</v>
      </c>
      <c r="G4">
        <f>d/2</f>
        <v>45</v>
      </c>
      <c r="J4" t="s">
        <v>6</v>
      </c>
      <c r="K4">
        <v>20</v>
      </c>
      <c r="M4" t="s">
        <v>8</v>
      </c>
      <c r="N4">
        <f>ATAN(d/2/(rr-h))</f>
        <v>0.5624644038365905</v>
      </c>
    </row>
    <row r="5" spans="3:14" ht="13.5" thickBot="1">
      <c r="C5" s="7" t="s">
        <v>17</v>
      </c>
      <c r="D5" s="8">
        <f>4*4*0.18</f>
        <v>2.88</v>
      </c>
      <c r="F5" t="s">
        <v>4</v>
      </c>
      <c r="G5">
        <f>SQRT(4*rr^2-d^2)/2</f>
        <v>71.38461538461539</v>
      </c>
      <c r="J5" t="s">
        <v>28</v>
      </c>
      <c r="K5">
        <f>2*rr*SIN(dto/2)</f>
        <v>4.745708605039827</v>
      </c>
      <c r="M5" t="s">
        <v>9</v>
      </c>
      <c r="N5">
        <f>2*to/(ns)</f>
        <v>0.056246440383659044</v>
      </c>
    </row>
    <row r="7" spans="2:17" ht="12.75">
      <c r="B7" t="s">
        <v>10</v>
      </c>
      <c r="E7" t="s">
        <v>11</v>
      </c>
      <c r="F7" t="s">
        <v>12</v>
      </c>
      <c r="Q7" t="s">
        <v>31</v>
      </c>
    </row>
    <row r="8" spans="1:17" ht="12.75">
      <c r="A8" t="s">
        <v>7</v>
      </c>
      <c r="B8" t="s">
        <v>2</v>
      </c>
      <c r="C8" t="s">
        <v>0</v>
      </c>
      <c r="D8" t="s">
        <v>1</v>
      </c>
      <c r="E8" t="s">
        <v>34</v>
      </c>
      <c r="F8" t="s">
        <v>30</v>
      </c>
      <c r="G8" t="s">
        <v>2</v>
      </c>
      <c r="H8" t="s">
        <v>22</v>
      </c>
      <c r="I8" t="s">
        <v>23</v>
      </c>
      <c r="J8" t="s">
        <v>13</v>
      </c>
      <c r="K8" t="s">
        <v>14</v>
      </c>
      <c r="L8" t="s">
        <v>15</v>
      </c>
      <c r="M8" t="s">
        <v>19</v>
      </c>
      <c r="N8" t="s">
        <v>20</v>
      </c>
      <c r="O8" t="s">
        <v>29</v>
      </c>
      <c r="P8" t="s">
        <v>33</v>
      </c>
      <c r="Q8" t="s">
        <v>32</v>
      </c>
    </row>
    <row r="9" spans="1:17" ht="12.75">
      <c r="A9">
        <v>0</v>
      </c>
      <c r="B9">
        <f aca="true" t="shared" si="0" ref="B9:B29">to-dto*(A9+1/2)</f>
        <v>0.5343411836447609</v>
      </c>
      <c r="C9">
        <v>0</v>
      </c>
      <c r="D9">
        <v>0</v>
      </c>
      <c r="E9" s="1">
        <f>-7500/20</f>
        <v>-375</v>
      </c>
      <c r="F9">
        <v>4.745297390820582</v>
      </c>
      <c r="G9">
        <v>0.5341018816774867</v>
      </c>
      <c r="H9">
        <v>0</v>
      </c>
      <c r="I9">
        <v>0</v>
      </c>
      <c r="M9">
        <f>e*a*(so-F9)^2/so/2</f>
        <v>1.5392846045695334</v>
      </c>
      <c r="P9">
        <f>(H9+H10)/2</f>
        <v>2.0422008477001468</v>
      </c>
      <c r="Q9">
        <f aca="true" t="shared" si="1" ref="Q9:Q28">e*a*(so-F9)</f>
        <v>35528.90854274438</v>
      </c>
    </row>
    <row r="10" spans="1:17" ht="12.75">
      <c r="A10">
        <v>1</v>
      </c>
      <c r="B10">
        <f t="shared" si="0"/>
        <v>0.4780947432611019</v>
      </c>
      <c r="C10">
        <f aca="true" t="shared" si="2" ref="C10:C29">C9+so*COS(B9)</f>
        <v>4.084177394208691</v>
      </c>
      <c r="D10">
        <f aca="true" t="shared" si="3" ref="D10:D29">D9+so*SIN(B9)</f>
        <v>2.416866809856051</v>
      </c>
      <c r="E10" s="1">
        <f aca="true" t="shared" si="4" ref="E10:E29">-7500/20</f>
        <v>-375</v>
      </c>
      <c r="F10">
        <v>4.745307345591741</v>
      </c>
      <c r="G10">
        <v>0.4778387868631382</v>
      </c>
      <c r="H10">
        <f>H9+F9*COS(G9)</f>
        <v>4.0844016954002935</v>
      </c>
      <c r="I10">
        <f>I9+F9*SIN(G9)</f>
        <v>2.415680052891904</v>
      </c>
      <c r="J10">
        <f>2*(G9-G10)/(F9+F10)</f>
        <v>0.01185658793659072</v>
      </c>
      <c r="K10">
        <f>J10-1/rr</f>
        <v>6.086569225178043E-06</v>
      </c>
      <c r="L10">
        <f>(so)*e*i*K10^2/2</f>
        <v>0.010126717229899652</v>
      </c>
      <c r="M10">
        <f>e*a*(so-F10)^2/so/2</f>
        <v>1.4656599528028298</v>
      </c>
      <c r="N10">
        <f aca="true" t="shared" si="5" ref="N10:N29">-E10*(I10-D10)</f>
        <v>-0.44503386155514413</v>
      </c>
      <c r="O10">
        <f aca="true" t="shared" si="6" ref="O10:O29">-e*i*K10</f>
        <v>-701.1727747405106</v>
      </c>
      <c r="P10">
        <f aca="true" t="shared" si="7" ref="P10:P28">(H10+H11)/2</f>
        <v>6.191296455881104</v>
      </c>
      <c r="Q10">
        <f t="shared" si="1"/>
        <v>34668.81631457284</v>
      </c>
    </row>
    <row r="11" spans="1:17" ht="12.75">
      <c r="A11">
        <v>2</v>
      </c>
      <c r="B11">
        <f t="shared" si="0"/>
        <v>0.42184830287744285</v>
      </c>
      <c r="C11">
        <f t="shared" si="2"/>
        <v>8.297764501097888</v>
      </c>
      <c r="D11">
        <f t="shared" si="3"/>
        <v>4.600312219433809</v>
      </c>
      <c r="E11" s="1">
        <f t="shared" si="4"/>
        <v>-375</v>
      </c>
      <c r="F11">
        <v>4.7453162913922915</v>
      </c>
      <c r="G11">
        <v>0.42156268623591087</v>
      </c>
      <c r="H11">
        <f aca="true" t="shared" si="8" ref="H11:H29">H10+F10*COS(G10)</f>
        <v>8.298191216361914</v>
      </c>
      <c r="I11">
        <f aca="true" t="shared" si="9" ref="I11:I29">I10+F10*SIN(G10)</f>
        <v>4.597862372763681</v>
      </c>
      <c r="J11">
        <f aca="true" t="shared" si="10" ref="J11:J28">2*(G10-G11)/(F10+F11)</f>
        <v>0.011859305095173063</v>
      </c>
      <c r="K11">
        <f aca="true" t="shared" si="11" ref="K11:K28">J11-1/rr</f>
        <v>8.803727807520784E-06</v>
      </c>
      <c r="L11">
        <f aca="true" t="shared" si="12" ref="L11:L28">(so)*e*i*K11^2/2</f>
        <v>0.02118638036022289</v>
      </c>
      <c r="M11">
        <f aca="true" t="shared" si="13" ref="M11:M28">e*a*(so-F11)^2/so/2</f>
        <v>1.4010366983700577</v>
      </c>
      <c r="N11">
        <f t="shared" si="5"/>
        <v>-0.9186925012977243</v>
      </c>
      <c r="O11">
        <f t="shared" si="6"/>
        <v>-1014.1894434263943</v>
      </c>
      <c r="P11">
        <f t="shared" si="7"/>
        <v>10.463124622055142</v>
      </c>
      <c r="Q11">
        <f t="shared" si="1"/>
        <v>33895.89914704345</v>
      </c>
    </row>
    <row r="12" spans="1:17" ht="12.75">
      <c r="A12">
        <v>3</v>
      </c>
      <c r="B12">
        <f t="shared" si="0"/>
        <v>0.3656018624937838</v>
      </c>
      <c r="C12">
        <f t="shared" si="2"/>
        <v>12.627434469045657</v>
      </c>
      <c r="D12">
        <f t="shared" si="3"/>
        <v>6.543430366279293</v>
      </c>
      <c r="E12" s="1">
        <f t="shared" si="4"/>
        <v>-375</v>
      </c>
      <c r="F12">
        <v>4.745324193806339</v>
      </c>
      <c r="G12">
        <v>0.36528930856573033</v>
      </c>
      <c r="H12">
        <f t="shared" si="8"/>
        <v>12.62805802774837</v>
      </c>
      <c r="I12">
        <f t="shared" si="9"/>
        <v>6.539583284997768</v>
      </c>
      <c r="J12">
        <f t="shared" si="10"/>
        <v>0.01185871022254886</v>
      </c>
      <c r="K12">
        <f t="shared" si="11"/>
        <v>8.20885518331739E-06</v>
      </c>
      <c r="L12">
        <f t="shared" si="12"/>
        <v>0.018419962423491386</v>
      </c>
      <c r="M12">
        <f t="shared" si="13"/>
        <v>1.3451627095395549</v>
      </c>
      <c r="N12">
        <f t="shared" si="5"/>
        <v>-1.442655480571875</v>
      </c>
      <c r="O12">
        <f t="shared" si="6"/>
        <v>-945.6601171181634</v>
      </c>
      <c r="P12">
        <f t="shared" si="7"/>
        <v>14.844172955701497</v>
      </c>
      <c r="Q12">
        <f t="shared" si="1"/>
        <v>33213.1305733327</v>
      </c>
    </row>
    <row r="13" spans="1:17" ht="12.75">
      <c r="A13">
        <v>4</v>
      </c>
      <c r="B13">
        <f t="shared" si="0"/>
        <v>0.3093554221101248</v>
      </c>
      <c r="C13">
        <f t="shared" si="2"/>
        <v>17.059493296297422</v>
      </c>
      <c r="D13">
        <f t="shared" si="3"/>
        <v>8.24007550175364</v>
      </c>
      <c r="E13" s="1">
        <f t="shared" si="4"/>
        <v>-375</v>
      </c>
      <c r="F13">
        <v>4.7453310055842195</v>
      </c>
      <c r="G13">
        <v>0.30902761815997865</v>
      </c>
      <c r="H13">
        <f t="shared" si="8"/>
        <v>17.060287883654624</v>
      </c>
      <c r="I13">
        <f t="shared" si="9"/>
        <v>8.234705761026277</v>
      </c>
      <c r="J13">
        <f t="shared" si="10"/>
        <v>0.01185622893756893</v>
      </c>
      <c r="K13">
        <f t="shared" si="11"/>
        <v>5.727570203388488E-06</v>
      </c>
      <c r="L13">
        <f t="shared" si="12"/>
        <v>0.008967355637415233</v>
      </c>
      <c r="M13">
        <f t="shared" si="13"/>
        <v>1.2979124476486488</v>
      </c>
      <c r="N13">
        <f t="shared" si="5"/>
        <v>-2.013652772761443</v>
      </c>
      <c r="O13">
        <f t="shared" si="6"/>
        <v>-659.8160874303538</v>
      </c>
      <c r="P13">
        <f t="shared" si="7"/>
        <v>19.320559635742107</v>
      </c>
      <c r="Q13">
        <f t="shared" si="1"/>
        <v>32624.592964464227</v>
      </c>
    </row>
    <row r="14" spans="1:17" ht="12.75">
      <c r="A14">
        <v>5</v>
      </c>
      <c r="B14">
        <f t="shared" si="0"/>
        <v>0.25310898172646573</v>
      </c>
      <c r="C14">
        <f t="shared" si="2"/>
        <v>21.579923142739258</v>
      </c>
      <c r="D14">
        <f t="shared" si="3"/>
        <v>9.684881428979473</v>
      </c>
      <c r="E14" s="1">
        <f t="shared" si="4"/>
        <v>-375</v>
      </c>
      <c r="F14">
        <v>4.745336697888185</v>
      </c>
      <c r="G14">
        <v>0.25278453522289435</v>
      </c>
      <c r="H14">
        <f t="shared" si="8"/>
        <v>21.58083138782959</v>
      </c>
      <c r="I14">
        <f t="shared" si="9"/>
        <v>9.677914955640988</v>
      </c>
      <c r="J14">
        <f t="shared" si="10"/>
        <v>0.011852292103011114</v>
      </c>
      <c r="K14">
        <f t="shared" si="11"/>
        <v>1.7907356455720141E-06</v>
      </c>
      <c r="L14">
        <f t="shared" si="12"/>
        <v>0.0008765698095792372</v>
      </c>
      <c r="M14">
        <f t="shared" si="13"/>
        <v>1.259075398260598</v>
      </c>
      <c r="N14">
        <f t="shared" si="5"/>
        <v>-2.612427501931913</v>
      </c>
      <c r="O14">
        <f t="shared" si="6"/>
        <v>-206.29274636989604</v>
      </c>
      <c r="P14">
        <f t="shared" si="7"/>
        <v>23.87809577021044</v>
      </c>
      <c r="Q14">
        <f t="shared" si="1"/>
        <v>32132.77790188158</v>
      </c>
    </row>
    <row r="15" spans="1:17" ht="12.75">
      <c r="A15">
        <v>6</v>
      </c>
      <c r="B15">
        <f t="shared" si="0"/>
        <v>0.19686254134280667</v>
      </c>
      <c r="C15">
        <f t="shared" si="2"/>
        <v>26.17442666591623</v>
      </c>
      <c r="D15">
        <f t="shared" si="3"/>
        <v>10.873278475199072</v>
      </c>
      <c r="E15" s="1">
        <f t="shared" si="4"/>
        <v>-375</v>
      </c>
      <c r="F15">
        <v>4.745341259991152</v>
      </c>
      <c r="G15">
        <v>0.19656445314736654</v>
      </c>
      <c r="H15">
        <f t="shared" si="8"/>
        <v>26.17536015259129</v>
      </c>
      <c r="I15">
        <f t="shared" si="9"/>
        <v>10.864728254395969</v>
      </c>
      <c r="J15">
        <f t="shared" si="10"/>
        <v>0.011847432254057858</v>
      </c>
      <c r="K15">
        <f t="shared" si="11"/>
        <v>-3.069113307684057E-06</v>
      </c>
      <c r="L15">
        <f t="shared" si="12"/>
        <v>0.002574834954913963</v>
      </c>
      <c r="M15">
        <f t="shared" si="13"/>
        <v>1.2283752560277525</v>
      </c>
      <c r="N15">
        <f t="shared" si="5"/>
        <v>-3.2063328011637804</v>
      </c>
      <c r="O15">
        <f t="shared" si="6"/>
        <v>353.5618530452034</v>
      </c>
      <c r="P15">
        <f t="shared" si="7"/>
        <v>28.502341048300337</v>
      </c>
      <c r="Q15">
        <f t="shared" si="1"/>
        <v>31738.612205498386</v>
      </c>
    </row>
    <row r="16" spans="1:17" ht="12.75">
      <c r="A16">
        <v>7</v>
      </c>
      <c r="B16">
        <f t="shared" si="0"/>
        <v>0.14061610095914762</v>
      </c>
      <c r="C16">
        <f t="shared" si="2"/>
        <v>30.82847224106858</v>
      </c>
      <c r="D16">
        <f t="shared" si="3"/>
        <v>11.801507944863692</v>
      </c>
      <c r="E16" s="1">
        <f t="shared" si="4"/>
        <v>-375</v>
      </c>
      <c r="F16">
        <v>4.745344692171393</v>
      </c>
      <c r="G16">
        <v>0.14036986843761054</v>
      </c>
      <c r="H16">
        <f t="shared" si="8"/>
        <v>30.829321944009383</v>
      </c>
      <c r="I16">
        <f t="shared" si="9"/>
        <v>11.79149862390229</v>
      </c>
      <c r="J16">
        <f t="shared" si="10"/>
        <v>0.011842049140178643</v>
      </c>
      <c r="K16">
        <f t="shared" si="11"/>
        <v>-8.452227186898573E-06</v>
      </c>
      <c r="L16">
        <f t="shared" si="12"/>
        <v>0.019528364627382895</v>
      </c>
      <c r="M16">
        <f t="shared" si="13"/>
        <v>1.2055285630006842</v>
      </c>
      <c r="N16">
        <f t="shared" si="5"/>
        <v>-3.753495360525605</v>
      </c>
      <c r="O16">
        <f t="shared" si="6"/>
        <v>973.6965719307155</v>
      </c>
      <c r="P16">
        <f t="shared" si="7"/>
        <v>33.178657434397536</v>
      </c>
      <c r="Q16">
        <f t="shared" si="1"/>
        <v>31442.07183264598</v>
      </c>
    </row>
    <row r="17" spans="1:17" ht="12.75">
      <c r="A17">
        <v>8</v>
      </c>
      <c r="B17">
        <f t="shared" si="0"/>
        <v>0.08436966057548861</v>
      </c>
      <c r="C17">
        <f t="shared" si="2"/>
        <v>35.5273399221626</v>
      </c>
      <c r="D17">
        <f t="shared" si="3"/>
        <v>12.46663400774139</v>
      </c>
      <c r="E17" s="1">
        <f t="shared" si="4"/>
        <v>-375</v>
      </c>
      <c r="F17">
        <v>4.745346992928904</v>
      </c>
      <c r="G17">
        <v>0.0842016360514922</v>
      </c>
      <c r="H17">
        <f t="shared" si="8"/>
        <v>35.52799292478569</v>
      </c>
      <c r="I17">
        <f t="shared" si="9"/>
        <v>12.455416737776146</v>
      </c>
      <c r="J17">
        <f t="shared" si="10"/>
        <v>0.011836488688026484</v>
      </c>
      <c r="K17">
        <f t="shared" si="11"/>
        <v>-1.4012679339057976E-05</v>
      </c>
      <c r="L17">
        <f t="shared" si="12"/>
        <v>0.05367424193809601</v>
      </c>
      <c r="M17">
        <f t="shared" si="13"/>
        <v>1.1903333813395063</v>
      </c>
      <c r="N17">
        <f t="shared" si="5"/>
        <v>-4.206476236966905</v>
      </c>
      <c r="O17">
        <f t="shared" si="6"/>
        <v>1614.260659859479</v>
      </c>
      <c r="P17">
        <f t="shared" si="7"/>
        <v>37.89226036221613</v>
      </c>
      <c r="Q17">
        <f t="shared" si="1"/>
        <v>31243.286383718783</v>
      </c>
    </row>
    <row r="18" spans="1:17" ht="12.75">
      <c r="A18">
        <v>9</v>
      </c>
      <c r="B18">
        <f t="shared" si="0"/>
        <v>0.028123220191829557</v>
      </c>
      <c r="C18">
        <f t="shared" si="2"/>
        <v>40.25616799854925</v>
      </c>
      <c r="D18">
        <f t="shared" si="3"/>
        <v>12.866552984443324</v>
      </c>
      <c r="E18" s="1">
        <f t="shared" si="4"/>
        <v>-375</v>
      </c>
      <c r="F18">
        <v>4.7453481493850616</v>
      </c>
      <c r="G18">
        <v>0.02805937879082806</v>
      </c>
      <c r="H18">
        <f t="shared" si="8"/>
        <v>40.25652779964656</v>
      </c>
      <c r="I18">
        <f t="shared" si="9"/>
        <v>12.854510737385159</v>
      </c>
      <c r="J18">
        <f t="shared" si="10"/>
        <v>0.011831010567467423</v>
      </c>
      <c r="K18">
        <f t="shared" si="11"/>
        <v>-1.9490799898118708E-05</v>
      </c>
      <c r="L18">
        <f t="shared" si="12"/>
        <v>0.10384435121173174</v>
      </c>
      <c r="M18">
        <f t="shared" si="13"/>
        <v>1.1827320474530776</v>
      </c>
      <c r="N18">
        <f t="shared" si="5"/>
        <v>-4.5158426468119295</v>
      </c>
      <c r="O18">
        <f t="shared" si="6"/>
        <v>2245.3401482632753</v>
      </c>
      <c r="P18">
        <f t="shared" si="7"/>
        <v>42.62826789837774</v>
      </c>
      <c r="Q18">
        <f t="shared" si="1"/>
        <v>31143.36857171054</v>
      </c>
    </row>
    <row r="19" spans="1:17" ht="12.75">
      <c r="A19">
        <v>10</v>
      </c>
      <c r="B19">
        <f t="shared" si="0"/>
        <v>-0.028123220191829446</v>
      </c>
      <c r="C19">
        <f t="shared" si="2"/>
        <v>44.999999999999986</v>
      </c>
      <c r="D19">
        <f t="shared" si="3"/>
        <v>12.999999999999996</v>
      </c>
      <c r="E19" s="1">
        <f>-7500/20-244</f>
        <v>-619</v>
      </c>
      <c r="F19">
        <v>4.745348148092424</v>
      </c>
      <c r="G19">
        <v>-0.02805812825363951</v>
      </c>
      <c r="H19">
        <f t="shared" si="8"/>
        <v>45.00000799710892</v>
      </c>
      <c r="I19">
        <f t="shared" si="9"/>
        <v>12.98764478695439</v>
      </c>
      <c r="J19">
        <f t="shared" si="10"/>
        <v>0.011825793447712143</v>
      </c>
      <c r="K19">
        <f t="shared" si="11"/>
        <v>-2.470791965339912E-05</v>
      </c>
      <c r="L19">
        <f t="shared" si="12"/>
        <v>0.16687678050707305</v>
      </c>
      <c r="M19">
        <f t="shared" si="13"/>
        <v>1.1827405303114014</v>
      </c>
      <c r="N19">
        <f t="shared" si="5"/>
        <v>-7.647876875230901</v>
      </c>
      <c r="O19">
        <f t="shared" si="6"/>
        <v>2846.352344071579</v>
      </c>
      <c r="P19">
        <f t="shared" si="7"/>
        <v>47.371748178436725</v>
      </c>
      <c r="Q19">
        <f t="shared" si="1"/>
        <v>31143.480255633447</v>
      </c>
    </row>
    <row r="20" spans="1:17" ht="12.75">
      <c r="A20">
        <v>11</v>
      </c>
      <c r="B20">
        <f t="shared" si="0"/>
        <v>-0.08436966057548856</v>
      </c>
      <c r="C20">
        <f t="shared" si="2"/>
        <v>49.74383200145072</v>
      </c>
      <c r="D20">
        <f t="shared" si="3"/>
        <v>12.866552984443326</v>
      </c>
      <c r="E20" s="1">
        <f t="shared" si="4"/>
        <v>-375</v>
      </c>
      <c r="F20">
        <v>4.745346990523399</v>
      </c>
      <c r="G20">
        <v>-0.08420012195038455</v>
      </c>
      <c r="H20">
        <f t="shared" si="8"/>
        <v>49.74348835976453</v>
      </c>
      <c r="I20">
        <f t="shared" si="9"/>
        <v>12.854516669319917</v>
      </c>
      <c r="J20">
        <f t="shared" si="10"/>
        <v>0.011830955030535962</v>
      </c>
      <c r="K20">
        <f t="shared" si="11"/>
        <v>-1.9546336829580346E-05</v>
      </c>
      <c r="L20">
        <f t="shared" si="12"/>
        <v>0.10443698087786984</v>
      </c>
      <c r="M20">
        <f t="shared" si="13"/>
        <v>1.1903492179914912</v>
      </c>
      <c r="N20">
        <f t="shared" si="5"/>
        <v>-4.513618171278155</v>
      </c>
      <c r="O20">
        <f t="shared" si="6"/>
        <v>2251.738002767656</v>
      </c>
      <c r="P20">
        <f t="shared" si="7"/>
        <v>52.10775609812809</v>
      </c>
      <c r="Q20">
        <f t="shared" si="1"/>
        <v>31243.494219361877</v>
      </c>
    </row>
    <row r="21" spans="1:17" ht="12.75">
      <c r="A21">
        <v>12</v>
      </c>
      <c r="B21">
        <f t="shared" si="0"/>
        <v>-0.14061610095914756</v>
      </c>
      <c r="C21">
        <f t="shared" si="2"/>
        <v>54.472660077837375</v>
      </c>
      <c r="D21">
        <f t="shared" si="3"/>
        <v>12.466634007741392</v>
      </c>
      <c r="E21" s="1">
        <f t="shared" si="4"/>
        <v>-375</v>
      </c>
      <c r="F21">
        <v>4.745344688359339</v>
      </c>
      <c r="G21">
        <v>-0.14036800189862508</v>
      </c>
      <c r="H21">
        <f t="shared" si="8"/>
        <v>54.47202383649166</v>
      </c>
      <c r="I21">
        <f t="shared" si="9"/>
        <v>12.455429829393557</v>
      </c>
      <c r="J21">
        <f t="shared" si="10"/>
        <v>0.011836414425561178</v>
      </c>
      <c r="K21">
        <f t="shared" si="11"/>
        <v>-1.4086941804363623E-05</v>
      </c>
      <c r="L21">
        <f t="shared" si="12"/>
        <v>0.054244660144437684</v>
      </c>
      <c r="M21">
        <f t="shared" si="13"/>
        <v>1.205553819402746</v>
      </c>
      <c r="N21">
        <f t="shared" si="5"/>
        <v>-4.201566880438268</v>
      </c>
      <c r="O21">
        <f t="shared" si="6"/>
        <v>1622.8156958626894</v>
      </c>
      <c r="P21">
        <f t="shared" si="7"/>
        <v>56.82135994460296</v>
      </c>
      <c r="Q21">
        <f t="shared" si="1"/>
        <v>31442.401194169634</v>
      </c>
    </row>
    <row r="22" spans="1:17" ht="12.75">
      <c r="A22">
        <v>13</v>
      </c>
      <c r="B22">
        <f t="shared" si="0"/>
        <v>-0.19686254134280667</v>
      </c>
      <c r="C22">
        <f t="shared" si="2"/>
        <v>59.17152775893139</v>
      </c>
      <c r="D22">
        <f t="shared" si="3"/>
        <v>11.801507944863696</v>
      </c>
      <c r="E22" s="1">
        <f t="shared" si="4"/>
        <v>-375</v>
      </c>
      <c r="F22">
        <v>4.745341252931981</v>
      </c>
      <c r="G22">
        <v>-0.19656237186383002</v>
      </c>
      <c r="H22">
        <f t="shared" si="8"/>
        <v>59.17069605271426</v>
      </c>
      <c r="I22">
        <f t="shared" si="9"/>
        <v>11.791520486306759</v>
      </c>
      <c r="J22">
        <f t="shared" si="10"/>
        <v>0.01184200389999609</v>
      </c>
      <c r="K22">
        <f t="shared" si="11"/>
        <v>-8.497467369451839E-06</v>
      </c>
      <c r="L22">
        <f t="shared" si="12"/>
        <v>0.01973797355532534</v>
      </c>
      <c r="M22">
        <f t="shared" si="13"/>
        <v>1.2284224671953687</v>
      </c>
      <c r="N22">
        <f t="shared" si="5"/>
        <v>-3.7452969588513962</v>
      </c>
      <c r="O22">
        <f t="shared" si="6"/>
        <v>978.9082409608518</v>
      </c>
      <c r="P22">
        <f t="shared" si="7"/>
        <v>61.49767790939261</v>
      </c>
      <c r="Q22">
        <f t="shared" si="1"/>
        <v>31739.22211787499</v>
      </c>
    </row>
    <row r="23" spans="1:17" ht="12.75">
      <c r="A23">
        <v>14</v>
      </c>
      <c r="B23">
        <f t="shared" si="0"/>
        <v>-0.2531089817264657</v>
      </c>
      <c r="C23">
        <f t="shared" si="2"/>
        <v>63.82557333408374</v>
      </c>
      <c r="D23">
        <f t="shared" si="3"/>
        <v>10.873278475199076</v>
      </c>
      <c r="E23" s="1">
        <f t="shared" si="4"/>
        <v>-375</v>
      </c>
      <c r="F23">
        <v>4.745336691408145</v>
      </c>
      <c r="G23">
        <v>-0.25278274024971825</v>
      </c>
      <c r="H23">
        <f t="shared" si="8"/>
        <v>63.82465976607095</v>
      </c>
      <c r="I23">
        <f t="shared" si="9"/>
        <v>10.864759804395149</v>
      </c>
      <c r="J23">
        <f t="shared" si="10"/>
        <v>0.011847492606029453</v>
      </c>
      <c r="K23">
        <f t="shared" si="11"/>
        <v>-3.0087613360884474E-06</v>
      </c>
      <c r="L23">
        <f t="shared" si="12"/>
        <v>0.0024745659390226905</v>
      </c>
      <c r="M23">
        <f t="shared" si="13"/>
        <v>1.2591192744243311</v>
      </c>
      <c r="N23">
        <f t="shared" si="5"/>
        <v>-3.194501551472495</v>
      </c>
      <c r="O23">
        <f t="shared" si="6"/>
        <v>346.6093059173891</v>
      </c>
      <c r="P23">
        <f t="shared" si="7"/>
        <v>66.12192521046006</v>
      </c>
      <c r="Q23">
        <f t="shared" si="1"/>
        <v>32133.337777304405</v>
      </c>
    </row>
    <row r="24" spans="1:17" ht="12.75">
      <c r="A24">
        <v>15</v>
      </c>
      <c r="B24">
        <f t="shared" si="0"/>
        <v>-0.3093554221101247</v>
      </c>
      <c r="C24">
        <f t="shared" si="2"/>
        <v>68.42007685726071</v>
      </c>
      <c r="D24">
        <f t="shared" si="3"/>
        <v>9.684881428979477</v>
      </c>
      <c r="E24" s="1">
        <f t="shared" si="4"/>
        <v>-375</v>
      </c>
      <c r="F24">
        <v>4.745331009576277</v>
      </c>
      <c r="G24">
        <v>-0.3090267918320034</v>
      </c>
      <c r="H24">
        <f t="shared" si="8"/>
        <v>68.41919065484917</v>
      </c>
      <c r="I24">
        <f t="shared" si="9"/>
        <v>9.677954754318623</v>
      </c>
      <c r="J24">
        <f t="shared" si="10"/>
        <v>0.011852496231946084</v>
      </c>
      <c r="K24">
        <f t="shared" si="11"/>
        <v>1.9948645805425297E-06</v>
      </c>
      <c r="L24">
        <f t="shared" si="12"/>
        <v>0.0010878033461343493</v>
      </c>
      <c r="M24">
        <f t="shared" si="13"/>
        <v>1.2978850042111012</v>
      </c>
      <c r="N24">
        <f t="shared" si="5"/>
        <v>-2.5975029978200226</v>
      </c>
      <c r="O24">
        <f t="shared" si="6"/>
        <v>-229.80839967849943</v>
      </c>
      <c r="P24">
        <f t="shared" si="7"/>
        <v>70.67946300511943</v>
      </c>
      <c r="Q24">
        <f t="shared" si="1"/>
        <v>32624.24805070907</v>
      </c>
    </row>
    <row r="25" spans="1:17" ht="12.75">
      <c r="A25">
        <v>16</v>
      </c>
      <c r="B25">
        <f t="shared" si="0"/>
        <v>-0.3656018624937838</v>
      </c>
      <c r="C25">
        <f t="shared" si="2"/>
        <v>72.94050670370254</v>
      </c>
      <c r="D25">
        <f t="shared" si="3"/>
        <v>8.240075501753644</v>
      </c>
      <c r="E25" s="1">
        <f t="shared" si="4"/>
        <v>-375</v>
      </c>
      <c r="F25">
        <v>4.745324216885373</v>
      </c>
      <c r="G25">
        <v>-0.3652899709893777</v>
      </c>
      <c r="H25">
        <f t="shared" si="8"/>
        <v>72.93973535538969</v>
      </c>
      <c r="I25">
        <f t="shared" si="9"/>
        <v>8.234749293941853</v>
      </c>
      <c r="J25">
        <f t="shared" si="10"/>
        <v>0.011856542633748298</v>
      </c>
      <c r="K25">
        <f t="shared" si="11"/>
        <v>6.0412663827561636E-06</v>
      </c>
      <c r="L25">
        <f t="shared" si="12"/>
        <v>0.009976530242859013</v>
      </c>
      <c r="M25">
        <f t="shared" si="13"/>
        <v>1.3450011943651916</v>
      </c>
      <c r="N25">
        <f t="shared" si="5"/>
        <v>-1.997327929421644</v>
      </c>
      <c r="O25">
        <f t="shared" si="6"/>
        <v>-695.9538872935101</v>
      </c>
      <c r="P25">
        <f t="shared" si="7"/>
        <v>75.15584973267586</v>
      </c>
      <c r="Q25">
        <f t="shared" si="1"/>
        <v>33211.136544812805</v>
      </c>
    </row>
    <row r="26" spans="1:17" ht="12.75">
      <c r="A26">
        <v>17</v>
      </c>
      <c r="B26">
        <f t="shared" si="0"/>
        <v>-0.4218483028774428</v>
      </c>
      <c r="C26">
        <f t="shared" si="2"/>
        <v>77.3725655309543</v>
      </c>
      <c r="D26">
        <f t="shared" si="3"/>
        <v>6.5434303662792965</v>
      </c>
      <c r="E26" s="1">
        <f t="shared" si="4"/>
        <v>-375</v>
      </c>
      <c r="F26">
        <v>4.745316333207439</v>
      </c>
      <c r="G26">
        <v>-0.42156531278167925</v>
      </c>
      <c r="H26">
        <f t="shared" si="8"/>
        <v>77.37196410996204</v>
      </c>
      <c r="I26">
        <f t="shared" si="9"/>
        <v>6.539623873655554</v>
      </c>
      <c r="J26">
        <f t="shared" si="10"/>
        <v>0.01185912404863994</v>
      </c>
      <c r="K26">
        <f t="shared" si="11"/>
        <v>8.622681274397803E-06</v>
      </c>
      <c r="L26">
        <f t="shared" si="12"/>
        <v>0.020323954700945005</v>
      </c>
      <c r="M26">
        <f t="shared" si="13"/>
        <v>1.4007380524533495</v>
      </c>
      <c r="N26">
        <f t="shared" si="5"/>
        <v>-1.4274347339034987</v>
      </c>
      <c r="O26">
        <f t="shared" si="6"/>
        <v>-993.3328828106269</v>
      </c>
      <c r="P26">
        <f t="shared" si="7"/>
        <v>79.53689498471547</v>
      </c>
      <c r="Q26">
        <f t="shared" si="1"/>
        <v>33892.2863182745</v>
      </c>
    </row>
    <row r="27" spans="1:17" ht="12.75">
      <c r="A27">
        <v>18</v>
      </c>
      <c r="B27">
        <f t="shared" si="0"/>
        <v>-0.4780947432611018</v>
      </c>
      <c r="C27">
        <f t="shared" si="2"/>
        <v>81.70223549890207</v>
      </c>
      <c r="D27">
        <f t="shared" si="3"/>
        <v>4.600312219433812</v>
      </c>
      <c r="E27" s="1">
        <f t="shared" si="4"/>
        <v>-375</v>
      </c>
      <c r="F27">
        <v>4.745307386162137</v>
      </c>
      <c r="G27">
        <v>-0.4778420460791066</v>
      </c>
      <c r="H27">
        <f>H26+F26*COS(G26)</f>
        <v>81.70182585946893</v>
      </c>
      <c r="I27">
        <f t="shared" si="9"/>
        <v>4.597891571724506</v>
      </c>
      <c r="J27">
        <f t="shared" si="10"/>
        <v>0.01185943831754096</v>
      </c>
      <c r="K27">
        <f t="shared" si="11"/>
        <v>8.936950175418568E-06</v>
      </c>
      <c r="L27">
        <f t="shared" si="12"/>
        <v>0.02183243747439797</v>
      </c>
      <c r="M27">
        <f t="shared" si="13"/>
        <v>1.4653635889473822</v>
      </c>
      <c r="N27">
        <f t="shared" si="5"/>
        <v>-0.9077428909899377</v>
      </c>
      <c r="O27">
        <f t="shared" si="6"/>
        <v>-1029.536660208219</v>
      </c>
      <c r="P27">
        <f t="shared" si="7"/>
        <v>83.80871708184986</v>
      </c>
      <c r="Q27">
        <f t="shared" si="1"/>
        <v>34665.31103236434</v>
      </c>
    </row>
    <row r="28" spans="1:17" ht="12.75">
      <c r="A28">
        <v>19</v>
      </c>
      <c r="B28">
        <f t="shared" si="0"/>
        <v>-0.5343411836447609</v>
      </c>
      <c r="C28">
        <f t="shared" si="2"/>
        <v>85.91582260579126</v>
      </c>
      <c r="D28">
        <f t="shared" si="3"/>
        <v>2.416866809856055</v>
      </c>
      <c r="E28" s="1">
        <f t="shared" si="4"/>
        <v>-375</v>
      </c>
      <c r="F28">
        <v>4.745297403092525</v>
      </c>
      <c r="G28">
        <v>-0.5341056871844532</v>
      </c>
      <c r="H28">
        <f t="shared" si="8"/>
        <v>85.91560830423079</v>
      </c>
      <c r="I28">
        <f t="shared" si="9"/>
        <v>2.415695499557359</v>
      </c>
      <c r="J28">
        <f t="shared" si="10"/>
        <v>0.011856702993058722</v>
      </c>
      <c r="K28">
        <f t="shared" si="11"/>
        <v>6.2016256931803765E-06</v>
      </c>
      <c r="L28">
        <f t="shared" si="12"/>
        <v>0.010513193364857698</v>
      </c>
      <c r="M28">
        <f t="shared" si="13"/>
        <v>1.5391927316258558</v>
      </c>
      <c r="N28">
        <f t="shared" si="5"/>
        <v>-0.43924136201095587</v>
      </c>
      <c r="O28">
        <f t="shared" si="6"/>
        <v>-714.4272798543793</v>
      </c>
      <c r="P28">
        <f t="shared" si="7"/>
        <v>87.95780456075389</v>
      </c>
      <c r="Q28">
        <f t="shared" si="1"/>
        <v>35527.84824690605</v>
      </c>
    </row>
    <row r="29" spans="1:15" ht="12.75">
      <c r="A29">
        <v>20</v>
      </c>
      <c r="B29">
        <f t="shared" si="0"/>
        <v>-0.59058762402842</v>
      </c>
      <c r="C29">
        <f t="shared" si="2"/>
        <v>89.99999999999996</v>
      </c>
      <c r="D29">
        <f t="shared" si="3"/>
        <v>3.9968028886505635E-15</v>
      </c>
      <c r="E29" s="1">
        <f t="shared" si="4"/>
        <v>-375</v>
      </c>
      <c r="F29">
        <v>4.745708605039827</v>
      </c>
      <c r="G29">
        <v>-0.59058762402842</v>
      </c>
      <c r="H29">
        <f t="shared" si="8"/>
        <v>90.000000817277</v>
      </c>
      <c r="I29">
        <f t="shared" si="9"/>
        <v>-1.0278345463632377E-07</v>
      </c>
      <c r="N29">
        <f t="shared" si="5"/>
        <v>-3.8543796987422496E-05</v>
      </c>
      <c r="O29">
        <f t="shared" si="6"/>
        <v>0</v>
      </c>
    </row>
    <row r="31" ht="13.5" thickBot="1"/>
    <row r="32" spans="1:2" ht="13.5" thickBot="1">
      <c r="A32" s="9" t="s">
        <v>21</v>
      </c>
      <c r="B32" s="10">
        <f>SUM(L10:L29)+SUM(M9:M28)+SUM(N10:N29)</f>
        <v>-26.906587460514466</v>
      </c>
    </row>
    <row r="35" spans="1:3" ht="12.75">
      <c r="A35" t="s">
        <v>36</v>
      </c>
      <c r="B35">
        <f>MAX(O10:O28)</f>
        <v>2846.352344071579</v>
      </c>
      <c r="C35" t="s">
        <v>37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B1">
      <selection activeCell="F39" sqref="F39"/>
    </sheetView>
  </sheetViews>
  <sheetFormatPr defaultColWidth="9.140625" defaultRowHeight="12.75"/>
  <cols>
    <col min="10" max="10" width="12.421875" style="0" customWidth="1"/>
    <col min="12" max="12" width="12.421875" style="0" bestFit="1" customWidth="1"/>
    <col min="14" max="14" width="12.421875" style="0" bestFit="1" customWidth="1"/>
    <col min="16" max="16" width="12.421875" style="0" bestFit="1" customWidth="1"/>
    <col min="17" max="17" width="9.57421875" style="0" bestFit="1" customWidth="1"/>
  </cols>
  <sheetData>
    <row r="1" spans="1:6" ht="12.75">
      <c r="A1" t="s">
        <v>24</v>
      </c>
      <c r="F1" t="s">
        <v>27</v>
      </c>
    </row>
    <row r="2" ht="13.5" thickBot="1"/>
    <row r="3" spans="1:7" ht="12.75">
      <c r="A3" s="2" t="s">
        <v>25</v>
      </c>
      <c r="B3" s="5">
        <v>90</v>
      </c>
      <c r="C3" s="5" t="s">
        <v>18</v>
      </c>
      <c r="D3" s="11">
        <v>30000000</v>
      </c>
      <c r="E3" t="s">
        <v>35</v>
      </c>
      <c r="F3" t="s">
        <v>5</v>
      </c>
      <c r="G3">
        <f>(d^2/(4*h)+h)/2</f>
        <v>84.38461538461539</v>
      </c>
    </row>
    <row r="4" spans="1:14" ht="13.5" thickBot="1">
      <c r="A4" s="3" t="s">
        <v>26</v>
      </c>
      <c r="B4" s="6">
        <v>13</v>
      </c>
      <c r="C4" s="6" t="s">
        <v>16</v>
      </c>
      <c r="D4" s="4">
        <f>0.18*4^3/3</f>
        <v>3.84</v>
      </c>
      <c r="F4" t="s">
        <v>3</v>
      </c>
      <c r="G4">
        <f>d/2</f>
        <v>45</v>
      </c>
      <c r="J4" t="s">
        <v>6</v>
      </c>
      <c r="K4">
        <v>20</v>
      </c>
      <c r="M4" t="s">
        <v>8</v>
      </c>
      <c r="N4">
        <f>ATAN(d/2/(rr-h))</f>
        <v>0.5624644038365905</v>
      </c>
    </row>
    <row r="5" spans="3:14" ht="13.5" thickBot="1">
      <c r="C5" s="7" t="s">
        <v>17</v>
      </c>
      <c r="D5" s="8">
        <f>4*4*0.18</f>
        <v>2.88</v>
      </c>
      <c r="F5" t="s">
        <v>4</v>
      </c>
      <c r="G5">
        <f>SQRT(4*rr^2-d^2)/2</f>
        <v>71.38461538461539</v>
      </c>
      <c r="J5" t="s">
        <v>28</v>
      </c>
      <c r="K5">
        <f>2*rr*SIN(dto/2)</f>
        <v>4.745708605039827</v>
      </c>
      <c r="M5" t="s">
        <v>9</v>
      </c>
      <c r="N5">
        <f>2*to/(ns)</f>
        <v>0.056246440383659044</v>
      </c>
    </row>
    <row r="7" spans="2:17" ht="12.75">
      <c r="B7" t="s">
        <v>10</v>
      </c>
      <c r="E7" t="s">
        <v>11</v>
      </c>
      <c r="F7" t="s">
        <v>12</v>
      </c>
      <c r="Q7" t="s">
        <v>31</v>
      </c>
    </row>
    <row r="8" spans="1:17" ht="12.75">
      <c r="A8" t="s">
        <v>7</v>
      </c>
      <c r="B8" t="s">
        <v>2</v>
      </c>
      <c r="C8" t="s">
        <v>0</v>
      </c>
      <c r="D8" t="s">
        <v>1</v>
      </c>
      <c r="E8" t="s">
        <v>34</v>
      </c>
      <c r="F8" t="s">
        <v>30</v>
      </c>
      <c r="G8" t="s">
        <v>2</v>
      </c>
      <c r="H8" t="s">
        <v>22</v>
      </c>
      <c r="I8" t="s">
        <v>23</v>
      </c>
      <c r="J8" t="s">
        <v>13</v>
      </c>
      <c r="K8" t="s">
        <v>14</v>
      </c>
      <c r="L8" t="s">
        <v>15</v>
      </c>
      <c r="M8" t="s">
        <v>19</v>
      </c>
      <c r="N8" t="s">
        <v>20</v>
      </c>
      <c r="O8" t="s">
        <v>29</v>
      </c>
      <c r="P8" t="s">
        <v>33</v>
      </c>
      <c r="Q8" t="s">
        <v>32</v>
      </c>
    </row>
    <row r="9" spans="1:17" ht="12.75">
      <c r="A9">
        <v>0</v>
      </c>
      <c r="B9">
        <f aca="true" t="shared" si="0" ref="B9:B29">to-dto*(A9+1/2)</f>
        <v>0.5343411836447609</v>
      </c>
      <c r="C9">
        <v>0</v>
      </c>
      <c r="D9">
        <v>0</v>
      </c>
      <c r="E9" s="1">
        <f aca="true" t="shared" si="1" ref="E9:E18">-7500/20</f>
        <v>-375</v>
      </c>
      <c r="F9">
        <v>4.745298800900743</v>
      </c>
      <c r="G9">
        <v>0.533933494323586</v>
      </c>
      <c r="H9">
        <v>0</v>
      </c>
      <c r="I9">
        <v>0</v>
      </c>
      <c r="M9">
        <f aca="true" t="shared" si="2" ref="M9:M28">e*a*(so-F9)^2/so/2</f>
        <v>1.5287460912394069</v>
      </c>
      <c r="P9">
        <f aca="true" t="shared" si="3" ref="P9:P28">(H9+H10)/2</f>
        <v>2.0424048106394683</v>
      </c>
      <c r="Q9">
        <f aca="true" t="shared" si="4" ref="Q9:Q28">e*a*(so-F9)</f>
        <v>35407.07761682711</v>
      </c>
    </row>
    <row r="10" spans="1:17" ht="12.75">
      <c r="A10">
        <v>1</v>
      </c>
      <c r="B10">
        <f t="shared" si="0"/>
        <v>0.4780947432611019</v>
      </c>
      <c r="C10">
        <f aca="true" t="shared" si="5" ref="C10:C29">C9+so*COS(B9)</f>
        <v>4.084177394208691</v>
      </c>
      <c r="D10">
        <f aca="true" t="shared" si="6" ref="D10:D29">D9+so*SIN(B9)</f>
        <v>2.416866809856051</v>
      </c>
      <c r="E10" s="1">
        <f t="shared" si="1"/>
        <v>-375</v>
      </c>
      <c r="F10">
        <v>4.7453088051792855</v>
      </c>
      <c r="G10">
        <v>0.47768526908095377</v>
      </c>
      <c r="H10">
        <f aca="true" t="shared" si="7" ref="H10:H29">H9+F9*COS(G9)</f>
        <v>4.084809621278937</v>
      </c>
      <c r="I10">
        <f aca="true" t="shared" si="8" ref="I10:I29">I9+F9*SIN(G9)</f>
        <v>2.4149929746765424</v>
      </c>
      <c r="J10">
        <f aca="true" t="shared" si="9" ref="J10:J28">2*(G9-G10)/(F9+F10)</f>
        <v>0.011853450817331785</v>
      </c>
      <c r="K10">
        <f aca="true" t="shared" si="10" ref="K10:K28">J10-1/rr</f>
        <v>2.9494499662434392E-06</v>
      </c>
      <c r="L10">
        <f aca="true" t="shared" si="11" ref="L10:L28">(so)*e*i*K10^2/2</f>
        <v>0.002377965876567315</v>
      </c>
      <c r="M10">
        <f t="shared" si="2"/>
        <v>1.455016623519736</v>
      </c>
      <c r="N10">
        <f aca="true" t="shared" si="12" ref="N10:N29">-E10*(I10-D10)</f>
        <v>-0.7026881923156703</v>
      </c>
      <c r="O10">
        <f aca="true" t="shared" si="13" ref="O10:O29">-e*i*K10</f>
        <v>-339.7766361112442</v>
      </c>
      <c r="P10">
        <f t="shared" si="3"/>
        <v>6.19187250692849</v>
      </c>
      <c r="Q10">
        <f t="shared" si="4"/>
        <v>34542.70795075729</v>
      </c>
    </row>
    <row r="11" spans="1:17" ht="12.75">
      <c r="A11">
        <v>2</v>
      </c>
      <c r="B11">
        <f t="shared" si="0"/>
        <v>0.42184830287744285</v>
      </c>
      <c r="C11">
        <f t="shared" si="5"/>
        <v>8.297764501097888</v>
      </c>
      <c r="D11">
        <f t="shared" si="6"/>
        <v>4.600312219433809</v>
      </c>
      <c r="E11" s="1">
        <f t="shared" si="1"/>
        <v>-375</v>
      </c>
      <c r="F11">
        <v>4.745317745645377</v>
      </c>
      <c r="G11">
        <v>0.42143937017307237</v>
      </c>
      <c r="H11">
        <f t="shared" si="7"/>
        <v>8.298935392578043</v>
      </c>
      <c r="I11">
        <f t="shared" si="8"/>
        <v>4.596529048223063</v>
      </c>
      <c r="J11">
        <f t="shared" si="9"/>
        <v>0.011852936917635658</v>
      </c>
      <c r="K11">
        <f t="shared" si="10"/>
        <v>2.4355502701162157E-06</v>
      </c>
      <c r="L11">
        <f t="shared" si="11"/>
        <v>0.0016215029662476283</v>
      </c>
      <c r="M11">
        <f t="shared" si="2"/>
        <v>1.3906690465834626</v>
      </c>
      <c r="N11">
        <f t="shared" si="12"/>
        <v>-1.418689204029544</v>
      </c>
      <c r="O11">
        <f t="shared" si="13"/>
        <v>-280.57539111738805</v>
      </c>
      <c r="P11">
        <f t="shared" si="3"/>
        <v>10.463989168002826</v>
      </c>
      <c r="Q11">
        <f t="shared" si="4"/>
        <v>33770.25168049386</v>
      </c>
    </row>
    <row r="12" spans="1:17" ht="12.75">
      <c r="A12">
        <v>3</v>
      </c>
      <c r="B12">
        <f t="shared" si="0"/>
        <v>0.3656018624937838</v>
      </c>
      <c r="C12">
        <f t="shared" si="5"/>
        <v>12.627434469045657</v>
      </c>
      <c r="D12">
        <f t="shared" si="6"/>
        <v>6.543430366279293</v>
      </c>
      <c r="E12" s="1">
        <f t="shared" si="1"/>
        <v>-375</v>
      </c>
      <c r="F12">
        <v>4.74532560202289</v>
      </c>
      <c r="G12">
        <v>0.36520936849793695</v>
      </c>
      <c r="H12">
        <f t="shared" si="7"/>
        <v>12.629042943427606</v>
      </c>
      <c r="I12">
        <f t="shared" si="8"/>
        <v>6.537716598464545</v>
      </c>
      <c r="J12">
        <f t="shared" si="9"/>
        <v>0.011849565854553037</v>
      </c>
      <c r="K12">
        <f t="shared" si="10"/>
        <v>-9.355128125047851E-07</v>
      </c>
      <c r="L12">
        <f t="shared" si="11"/>
        <v>0.0002392340713949866</v>
      </c>
      <c r="M12">
        <f t="shared" si="2"/>
        <v>1.3353252721216757</v>
      </c>
      <c r="N12">
        <f t="shared" si="12"/>
        <v>-2.142662930530448</v>
      </c>
      <c r="O12">
        <f t="shared" si="13"/>
        <v>107.77107600055125</v>
      </c>
      <c r="P12">
        <f t="shared" si="3"/>
        <v>14.845226276074175</v>
      </c>
      <c r="Q12">
        <f t="shared" si="4"/>
        <v>33091.46066329447</v>
      </c>
    </row>
    <row r="13" spans="1:17" ht="12.75">
      <c r="A13">
        <v>4</v>
      </c>
      <c r="B13">
        <f t="shared" si="0"/>
        <v>0.3093554221101248</v>
      </c>
      <c r="C13">
        <f t="shared" si="5"/>
        <v>17.059493296297422</v>
      </c>
      <c r="D13">
        <f t="shared" si="6"/>
        <v>8.24007550175364</v>
      </c>
      <c r="E13" s="1">
        <f t="shared" si="1"/>
        <v>-375</v>
      </c>
      <c r="F13">
        <v>4.7453323754559005</v>
      </c>
      <c r="G13">
        <v>0.3090050453830222</v>
      </c>
      <c r="H13">
        <f t="shared" si="7"/>
        <v>17.061409608720744</v>
      </c>
      <c r="I13">
        <f t="shared" si="8"/>
        <v>8.232485259259313</v>
      </c>
      <c r="J13">
        <f t="shared" si="9"/>
        <v>0.011844136254469792</v>
      </c>
      <c r="K13">
        <f t="shared" si="10"/>
        <v>-6.365112895749536E-06</v>
      </c>
      <c r="L13">
        <f t="shared" si="11"/>
        <v>0.011074796980830852</v>
      </c>
      <c r="M13">
        <f t="shared" si="2"/>
        <v>1.2885122836633909</v>
      </c>
      <c r="N13">
        <f t="shared" si="12"/>
        <v>-2.8463409353727265</v>
      </c>
      <c r="O13">
        <f t="shared" si="13"/>
        <v>733.2610055903466</v>
      </c>
      <c r="P13">
        <f t="shared" si="3"/>
        <v>19.321698301346977</v>
      </c>
      <c r="Q13">
        <f t="shared" si="4"/>
        <v>32506.236051227686</v>
      </c>
    </row>
    <row r="14" spans="1:17" ht="12.75">
      <c r="A14">
        <v>5</v>
      </c>
      <c r="B14">
        <f t="shared" si="0"/>
        <v>0.25310898172646573</v>
      </c>
      <c r="C14">
        <f t="shared" si="5"/>
        <v>21.579923142739258</v>
      </c>
      <c r="D14">
        <f t="shared" si="6"/>
        <v>9.684881428979473</v>
      </c>
      <c r="E14" s="1">
        <f>-7500/20</f>
        <v>-375</v>
      </c>
      <c r="F14">
        <v>4.745338070834337</v>
      </c>
      <c r="G14">
        <v>0.25283311966591765</v>
      </c>
      <c r="H14">
        <f t="shared" si="7"/>
        <v>21.58198699397321</v>
      </c>
      <c r="I14">
        <f t="shared" si="8"/>
        <v>9.6755928288791</v>
      </c>
      <c r="J14">
        <f t="shared" si="9"/>
        <v>0.011837293484162929</v>
      </c>
      <c r="K14">
        <f t="shared" si="10"/>
        <v>-1.320788320261293E-05</v>
      </c>
      <c r="L14">
        <f t="shared" si="11"/>
        <v>0.04768590083103357</v>
      </c>
      <c r="M14">
        <f t="shared" si="2"/>
        <v>1.2497964588516475</v>
      </c>
      <c r="N14">
        <f t="shared" si="12"/>
        <v>-3.483225037639759</v>
      </c>
      <c r="O14">
        <f t="shared" si="13"/>
        <v>1521.5481449410095</v>
      </c>
      <c r="P14">
        <f t="shared" si="3"/>
        <v>23.879223207959694</v>
      </c>
      <c r="Q14">
        <f t="shared" si="4"/>
        <v>32014.155354320905</v>
      </c>
    </row>
    <row r="15" spans="1:17" ht="12.75">
      <c r="A15">
        <v>6</v>
      </c>
      <c r="B15">
        <f t="shared" si="0"/>
        <v>0.19686254134280667</v>
      </c>
      <c r="C15">
        <f t="shared" si="5"/>
        <v>26.17442666591623</v>
      </c>
      <c r="D15">
        <f t="shared" si="6"/>
        <v>10.873278475199072</v>
      </c>
      <c r="E15" s="1">
        <f>-7500/20-244</f>
        <v>-619</v>
      </c>
      <c r="F15">
        <v>4.74534558141679</v>
      </c>
      <c r="G15">
        <v>0.19669708274337427</v>
      </c>
      <c r="H15">
        <f t="shared" si="7"/>
        <v>26.176459421946177</v>
      </c>
      <c r="I15">
        <f t="shared" si="8"/>
        <v>10.862629692294021</v>
      </c>
      <c r="J15">
        <f t="shared" si="9"/>
        <v>0.011829714060530988</v>
      </c>
      <c r="K15">
        <f t="shared" si="10"/>
        <v>-2.0787306834553834E-05</v>
      </c>
      <c r="L15">
        <f t="shared" si="11"/>
        <v>0.11811906616398646</v>
      </c>
      <c r="M15">
        <f t="shared" si="2"/>
        <v>1.1996441821343322</v>
      </c>
      <c r="N15">
        <f t="shared" si="12"/>
        <v>-6.591596618226433</v>
      </c>
      <c r="O15">
        <f t="shared" si="13"/>
        <v>2394.697747340602</v>
      </c>
      <c r="P15">
        <f t="shared" si="3"/>
        <v>28.50338095764775</v>
      </c>
      <c r="Q15">
        <f t="shared" si="4"/>
        <v>31365.241030394485</v>
      </c>
    </row>
    <row r="16" spans="1:17" ht="12.75">
      <c r="A16">
        <v>7</v>
      </c>
      <c r="B16">
        <f t="shared" si="0"/>
        <v>0.14061610095914762</v>
      </c>
      <c r="C16">
        <f t="shared" si="5"/>
        <v>30.82847224106858</v>
      </c>
      <c r="D16">
        <f t="shared" si="6"/>
        <v>11.801507944863692</v>
      </c>
      <c r="E16" s="1">
        <f t="shared" si="1"/>
        <v>-375</v>
      </c>
      <c r="F16">
        <v>4.74534908746654</v>
      </c>
      <c r="G16">
        <v>0.1405515581755066</v>
      </c>
      <c r="H16">
        <f t="shared" si="7"/>
        <v>30.83030249334932</v>
      </c>
      <c r="I16">
        <f t="shared" si="8"/>
        <v>11.790018151260822</v>
      </c>
      <c r="J16">
        <f t="shared" si="9"/>
        <v>0.01183169968620932</v>
      </c>
      <c r="K16">
        <f t="shared" si="10"/>
        <v>-1.8801681156222286E-05</v>
      </c>
      <c r="L16">
        <f t="shared" si="11"/>
        <v>0.09663109897040104</v>
      </c>
      <c r="M16">
        <f t="shared" si="2"/>
        <v>1.1765839663566393</v>
      </c>
      <c r="N16">
        <f t="shared" si="12"/>
        <v>-4.308672601076147</v>
      </c>
      <c r="O16">
        <f t="shared" si="13"/>
        <v>2165.9536691968074</v>
      </c>
      <c r="P16">
        <f t="shared" si="3"/>
        <v>33.179579807382915</v>
      </c>
      <c r="Q16">
        <f t="shared" si="4"/>
        <v>31062.318331987626</v>
      </c>
    </row>
    <row r="17" spans="1:17" ht="12.75">
      <c r="A17">
        <v>8</v>
      </c>
      <c r="B17">
        <f t="shared" si="0"/>
        <v>0.08436966057548861</v>
      </c>
      <c r="C17">
        <f t="shared" si="5"/>
        <v>35.5273399221626</v>
      </c>
      <c r="D17">
        <f t="shared" si="6"/>
        <v>12.46663400774139</v>
      </c>
      <c r="E17" s="1">
        <f t="shared" si="1"/>
        <v>-375</v>
      </c>
      <c r="F17">
        <v>4.745351462263294</v>
      </c>
      <c r="G17">
        <v>0.08439647610010156</v>
      </c>
      <c r="H17">
        <f t="shared" si="7"/>
        <v>35.528857121416515</v>
      </c>
      <c r="I17">
        <f t="shared" si="8"/>
        <v>12.454790570204207</v>
      </c>
      <c r="J17">
        <f t="shared" si="9"/>
        <v>0.011833706433189185</v>
      </c>
      <c r="K17">
        <f t="shared" si="10"/>
        <v>-1.6794934176356593E-05</v>
      </c>
      <c r="L17">
        <f t="shared" si="11"/>
        <v>0.07710457786361569</v>
      </c>
      <c r="M17">
        <f t="shared" si="2"/>
        <v>1.1610914307698512</v>
      </c>
      <c r="N17">
        <f t="shared" si="12"/>
        <v>-4.441289076444033</v>
      </c>
      <c r="O17">
        <f t="shared" si="13"/>
        <v>1934.7764171162796</v>
      </c>
      <c r="P17">
        <f t="shared" si="3"/>
        <v>37.89308786093655</v>
      </c>
      <c r="Q17">
        <f t="shared" si="4"/>
        <v>30857.135892449605</v>
      </c>
    </row>
    <row r="18" spans="1:17" ht="12.75">
      <c r="A18">
        <v>9</v>
      </c>
      <c r="B18">
        <f t="shared" si="0"/>
        <v>0.028123220191829557</v>
      </c>
      <c r="C18">
        <f t="shared" si="5"/>
        <v>40.25616799854925</v>
      </c>
      <c r="D18">
        <f t="shared" si="6"/>
        <v>12.866552984443324</v>
      </c>
      <c r="E18" s="1">
        <f t="shared" si="1"/>
        <v>-375</v>
      </c>
      <c r="F18">
        <v>4.7453526527279015</v>
      </c>
      <c r="G18">
        <v>0.028231150268602345</v>
      </c>
      <c r="H18">
        <f t="shared" si="7"/>
        <v>40.25731860045657</v>
      </c>
      <c r="I18">
        <f t="shared" si="8"/>
        <v>12.854806246945381</v>
      </c>
      <c r="J18">
        <f t="shared" si="9"/>
        <v>0.011835860680301341</v>
      </c>
      <c r="K18">
        <f t="shared" si="10"/>
        <v>-1.4640687064200464E-05</v>
      </c>
      <c r="L18">
        <f t="shared" si="11"/>
        <v>0.058593098870379015</v>
      </c>
      <c r="M18">
        <f t="shared" si="2"/>
        <v>1.1533637955669516</v>
      </c>
      <c r="N18">
        <f t="shared" si="12"/>
        <v>-4.405026561728365</v>
      </c>
      <c r="O18">
        <f t="shared" si="13"/>
        <v>1686.6071497958935</v>
      </c>
      <c r="P18">
        <f t="shared" si="3"/>
        <v>42.629049480656164</v>
      </c>
      <c r="Q18">
        <f t="shared" si="4"/>
        <v>30754.279750337333</v>
      </c>
    </row>
    <row r="19" spans="1:17" ht="12.75">
      <c r="A19">
        <v>10</v>
      </c>
      <c r="B19">
        <f t="shared" si="0"/>
        <v>-0.028123220191829446</v>
      </c>
      <c r="C19">
        <f t="shared" si="5"/>
        <v>44.999999999999986</v>
      </c>
      <c r="D19">
        <f t="shared" si="6"/>
        <v>12.999999999999996</v>
      </c>
      <c r="E19" s="1">
        <f>-7500/20</f>
        <v>-375</v>
      </c>
      <c r="F19">
        <v>4.7453526515755335</v>
      </c>
      <c r="G19">
        <v>-0.027946426417610262</v>
      </c>
      <c r="H19">
        <f t="shared" si="7"/>
        <v>45.00078036085575</v>
      </c>
      <c r="I19">
        <f t="shared" si="8"/>
        <v>12.988755216267489</v>
      </c>
      <c r="J19">
        <f t="shared" si="9"/>
        <v>0.011838440850278983</v>
      </c>
      <c r="K19">
        <f t="shared" si="10"/>
        <v>-1.2060517086558836E-05</v>
      </c>
      <c r="L19">
        <f t="shared" si="11"/>
        <v>0.039760826942654814</v>
      </c>
      <c r="M19">
        <f t="shared" si="2"/>
        <v>1.1533712634305548</v>
      </c>
      <c r="N19">
        <f t="shared" si="12"/>
        <v>-4.21679389969043</v>
      </c>
      <c r="O19">
        <f t="shared" si="13"/>
        <v>1389.371568371578</v>
      </c>
      <c r="P19">
        <f t="shared" si="3"/>
        <v>47.372530213576965</v>
      </c>
      <c r="Q19">
        <f t="shared" si="4"/>
        <v>30754.379314930702</v>
      </c>
    </row>
    <row r="20" spans="1:17" ht="12.75">
      <c r="A20">
        <v>11</v>
      </c>
      <c r="B20">
        <f t="shared" si="0"/>
        <v>-0.08436966057548856</v>
      </c>
      <c r="C20">
        <f t="shared" si="5"/>
        <v>49.74383200145072</v>
      </c>
      <c r="D20">
        <f t="shared" si="6"/>
        <v>12.866552984443326</v>
      </c>
      <c r="E20" s="1">
        <f aca="true" t="shared" si="14" ref="E20:E29">-7500/20</f>
        <v>-375</v>
      </c>
      <c r="F20">
        <v>4.7453514737349</v>
      </c>
      <c r="G20">
        <v>-0.08413941914092099</v>
      </c>
      <c r="H20">
        <f t="shared" si="7"/>
        <v>49.74428006629818</v>
      </c>
      <c r="I20">
        <f t="shared" si="8"/>
        <v>12.856156829088253</v>
      </c>
      <c r="J20">
        <f t="shared" si="9"/>
        <v>0.011841690981273257</v>
      </c>
      <c r="K20">
        <f t="shared" si="10"/>
        <v>-8.8103860922846E-06</v>
      </c>
      <c r="L20">
        <f t="shared" si="11"/>
        <v>0.021218439120001494</v>
      </c>
      <c r="M20">
        <f t="shared" si="2"/>
        <v>1.1610168422845035</v>
      </c>
      <c r="N20">
        <f t="shared" si="12"/>
        <v>-3.8985582581523293</v>
      </c>
      <c r="O20">
        <f t="shared" si="13"/>
        <v>1014.9564778311859</v>
      </c>
      <c r="P20">
        <f t="shared" si="3"/>
        <v>52.10856214682775</v>
      </c>
      <c r="Q20">
        <f t="shared" si="4"/>
        <v>30856.14474570093</v>
      </c>
    </row>
    <row r="21" spans="1:17" ht="12.75">
      <c r="A21">
        <v>12</v>
      </c>
      <c r="B21">
        <f t="shared" si="0"/>
        <v>-0.14061610095914756</v>
      </c>
      <c r="C21">
        <f t="shared" si="5"/>
        <v>54.472660077837375</v>
      </c>
      <c r="D21">
        <f t="shared" si="6"/>
        <v>12.466634007741392</v>
      </c>
      <c r="E21" s="1">
        <f t="shared" si="14"/>
        <v>-375</v>
      </c>
      <c r="F21">
        <v>4.745349123416675</v>
      </c>
      <c r="G21">
        <v>-0.14034909615846236</v>
      </c>
      <c r="H21">
        <f t="shared" si="7"/>
        <v>54.472844227357314</v>
      </c>
      <c r="I21">
        <f t="shared" si="8"/>
        <v>12.457356648515194</v>
      </c>
      <c r="J21">
        <f t="shared" si="9"/>
        <v>0.011845211308090674</v>
      </c>
      <c r="K21">
        <f t="shared" si="10"/>
        <v>-5.290059274867809E-06</v>
      </c>
      <c r="L21">
        <f t="shared" si="11"/>
        <v>0.007649703956632116</v>
      </c>
      <c r="M21">
        <f t="shared" si="2"/>
        <v>1.176348671944804</v>
      </c>
      <c r="N21">
        <f t="shared" si="12"/>
        <v>-3.479009709824288</v>
      </c>
      <c r="O21">
        <f t="shared" si="13"/>
        <v>609.4148284647715</v>
      </c>
      <c r="P21">
        <f t="shared" si="3"/>
        <v>56.822188806621725</v>
      </c>
      <c r="Q21">
        <f t="shared" si="4"/>
        <v>31059.212240296576</v>
      </c>
    </row>
    <row r="22" spans="1:17" ht="12.75">
      <c r="A22">
        <v>13</v>
      </c>
      <c r="B22">
        <f t="shared" si="0"/>
        <v>-0.19686254134280667</v>
      </c>
      <c r="C22">
        <f t="shared" si="5"/>
        <v>59.17152775893139</v>
      </c>
      <c r="D22">
        <f t="shared" si="6"/>
        <v>11.801507944863696</v>
      </c>
      <c r="E22" s="1">
        <f t="shared" si="14"/>
        <v>-375</v>
      </c>
      <c r="F22">
        <v>4.745345636098272</v>
      </c>
      <c r="G22">
        <v>-0.1965772369727975</v>
      </c>
      <c r="H22">
        <f t="shared" si="7"/>
        <v>59.171533385886136</v>
      </c>
      <c r="I22">
        <f t="shared" si="8"/>
        <v>11.79353551700828</v>
      </c>
      <c r="J22">
        <f t="shared" si="9"/>
        <v>0.011849109520241034</v>
      </c>
      <c r="K22">
        <f t="shared" si="10"/>
        <v>-1.3918471245075864E-06</v>
      </c>
      <c r="L22">
        <f t="shared" si="11"/>
        <v>0.0005295495761462312</v>
      </c>
      <c r="M22">
        <f t="shared" si="2"/>
        <v>1.1992828096083343</v>
      </c>
      <c r="N22">
        <f t="shared" si="12"/>
        <v>-2.9896604457808618</v>
      </c>
      <c r="O22">
        <f t="shared" si="13"/>
        <v>160.34078874327395</v>
      </c>
      <c r="P22">
        <f t="shared" si="3"/>
        <v>61.4985105034832</v>
      </c>
      <c r="Q22">
        <f t="shared" si="4"/>
        <v>31360.516550310535</v>
      </c>
    </row>
    <row r="23" spans="1:17" ht="12.75">
      <c r="A23">
        <v>14</v>
      </c>
      <c r="B23">
        <f t="shared" si="0"/>
        <v>-0.2531089817264657</v>
      </c>
      <c r="C23">
        <f t="shared" si="5"/>
        <v>63.82557333408374</v>
      </c>
      <c r="D23">
        <f t="shared" si="6"/>
        <v>10.873278475199076</v>
      </c>
      <c r="E23" s="1">
        <f t="shared" si="14"/>
        <v>-375</v>
      </c>
      <c r="F23">
        <v>4.745341050413799</v>
      </c>
      <c r="G23">
        <v>-0.25282479408475683</v>
      </c>
      <c r="H23">
        <f t="shared" si="7"/>
        <v>63.82548762108027</v>
      </c>
      <c r="I23">
        <f t="shared" si="8"/>
        <v>10.866704797429184</v>
      </c>
      <c r="J23">
        <f t="shared" si="9"/>
        <v>0.011853211252226242</v>
      </c>
      <c r="K23">
        <f t="shared" si="10"/>
        <v>2.7098848607003817E-06</v>
      </c>
      <c r="L23">
        <f t="shared" si="11"/>
        <v>0.0020073598298487334</v>
      </c>
      <c r="M23">
        <f t="shared" si="2"/>
        <v>1.229777278853151</v>
      </c>
      <c r="N23">
        <f t="shared" si="12"/>
        <v>-2.465129163709223</v>
      </c>
      <c r="O23">
        <f t="shared" si="13"/>
        <v>-312.17873595268395</v>
      </c>
      <c r="P23">
        <f t="shared" si="3"/>
        <v>66.12273021880188</v>
      </c>
      <c r="Q23">
        <f t="shared" si="4"/>
        <v>31756.719688780777</v>
      </c>
    </row>
    <row r="24" spans="1:17" ht="12.75">
      <c r="A24">
        <v>15</v>
      </c>
      <c r="B24">
        <f t="shared" si="0"/>
        <v>-0.3093554221101247</v>
      </c>
      <c r="C24">
        <f t="shared" si="5"/>
        <v>68.42007685726071</v>
      </c>
      <c r="D24">
        <f t="shared" si="6"/>
        <v>9.684881428979477</v>
      </c>
      <c r="E24" s="1">
        <f t="shared" si="14"/>
        <v>-375</v>
      </c>
      <c r="F24">
        <v>4.745335379907801</v>
      </c>
      <c r="G24">
        <v>-0.3090890932740508</v>
      </c>
      <c r="H24">
        <f t="shared" si="7"/>
        <v>68.41997281652347</v>
      </c>
      <c r="I24">
        <f t="shared" si="8"/>
        <v>9.679705440396646</v>
      </c>
      <c r="J24">
        <f t="shared" si="9"/>
        <v>0.011856752171960291</v>
      </c>
      <c r="K24">
        <f t="shared" si="10"/>
        <v>6.250804594749512E-06</v>
      </c>
      <c r="L24">
        <f t="shared" si="11"/>
        <v>0.01068059376630372</v>
      </c>
      <c r="M24">
        <f t="shared" si="2"/>
        <v>1.268015140667008</v>
      </c>
      <c r="N24">
        <f t="shared" si="12"/>
        <v>-1.9409957185616555</v>
      </c>
      <c r="O24">
        <f t="shared" si="13"/>
        <v>-720.0926893151438</v>
      </c>
      <c r="P24">
        <f t="shared" si="3"/>
        <v>70.68020228712955</v>
      </c>
      <c r="Q24">
        <f t="shared" si="4"/>
        <v>32246.651407015746</v>
      </c>
    </row>
    <row r="25" spans="1:17" ht="12.75">
      <c r="A25">
        <v>16</v>
      </c>
      <c r="B25">
        <f t="shared" si="0"/>
        <v>-0.3656018624937838</v>
      </c>
      <c r="C25">
        <f t="shared" si="5"/>
        <v>72.94050670370254</v>
      </c>
      <c r="D25">
        <f t="shared" si="6"/>
        <v>8.240075501753644</v>
      </c>
      <c r="E25" s="1">
        <f t="shared" si="14"/>
        <v>-375</v>
      </c>
      <c r="F25">
        <v>4.745328609531183</v>
      </c>
      <c r="G25">
        <v>-0.36536660502913393</v>
      </c>
      <c r="H25">
        <f t="shared" si="7"/>
        <v>72.94043175773562</v>
      </c>
      <c r="I25">
        <f t="shared" si="8"/>
        <v>8.236217016951636</v>
      </c>
      <c r="J25">
        <f t="shared" si="9"/>
        <v>0.011859552043504558</v>
      </c>
      <c r="K25">
        <f t="shared" si="10"/>
        <v>9.050676139016334E-06</v>
      </c>
      <c r="L25">
        <f t="shared" si="11"/>
        <v>0.022391624432285595</v>
      </c>
      <c r="M25">
        <f t="shared" si="2"/>
        <v>1.314436485638789</v>
      </c>
      <c r="N25">
        <f t="shared" si="12"/>
        <v>-1.4469318007528376</v>
      </c>
      <c r="O25">
        <f t="shared" si="13"/>
        <v>-1042.6378912146815</v>
      </c>
      <c r="P25">
        <f t="shared" si="3"/>
        <v>75.15648322770994</v>
      </c>
      <c r="Q25">
        <f t="shared" si="4"/>
        <v>32831.61194684965</v>
      </c>
    </row>
    <row r="26" spans="1:17" ht="12.75">
      <c r="A26">
        <v>17</v>
      </c>
      <c r="B26">
        <f t="shared" si="0"/>
        <v>-0.4218483028774428</v>
      </c>
      <c r="C26">
        <f t="shared" si="5"/>
        <v>77.3725655309543</v>
      </c>
      <c r="D26">
        <f t="shared" si="6"/>
        <v>6.5434303662792965</v>
      </c>
      <c r="E26" s="1">
        <f t="shared" si="14"/>
        <v>-375</v>
      </c>
      <c r="F26">
        <v>4.745320723574062</v>
      </c>
      <c r="G26">
        <v>-0.42165049174774816</v>
      </c>
      <c r="H26">
        <f t="shared" si="7"/>
        <v>77.37253469768424</v>
      </c>
      <c r="I26">
        <f t="shared" si="8"/>
        <v>6.54075037259263</v>
      </c>
      <c r="J26">
        <f t="shared" si="9"/>
        <v>0.011860913778003575</v>
      </c>
      <c r="K26">
        <f t="shared" si="10"/>
        <v>1.0412410638033567E-05</v>
      </c>
      <c r="L26">
        <f t="shared" si="11"/>
        <v>0.02963644628690273</v>
      </c>
      <c r="M26">
        <f t="shared" si="2"/>
        <v>1.369558963899098</v>
      </c>
      <c r="N26">
        <f t="shared" si="12"/>
        <v>-1.0049976325000598</v>
      </c>
      <c r="O26">
        <f t="shared" si="13"/>
        <v>-1199.509705501467</v>
      </c>
      <c r="P26">
        <f t="shared" si="3"/>
        <v>79.53738487012657</v>
      </c>
      <c r="Q26">
        <f t="shared" si="4"/>
        <v>33512.958642035075</v>
      </c>
    </row>
    <row r="27" spans="1:17" ht="12.75">
      <c r="A27">
        <v>18</v>
      </c>
      <c r="B27">
        <f t="shared" si="0"/>
        <v>-0.4780947432611018</v>
      </c>
      <c r="C27">
        <f t="shared" si="5"/>
        <v>81.70223549890207</v>
      </c>
      <c r="D27">
        <f t="shared" si="6"/>
        <v>4.600312219433812</v>
      </c>
      <c r="E27" s="1">
        <f t="shared" si="14"/>
        <v>-375</v>
      </c>
      <c r="F27">
        <v>4.745311732669907</v>
      </c>
      <c r="G27">
        <v>-0.4779315455953495</v>
      </c>
      <c r="H27">
        <f t="shared" si="7"/>
        <v>81.70223504256892</v>
      </c>
      <c r="I27">
        <f t="shared" si="8"/>
        <v>4.598647467727135</v>
      </c>
      <c r="J27">
        <f t="shared" si="9"/>
        <v>0.011860337887297186</v>
      </c>
      <c r="K27">
        <f t="shared" si="10"/>
        <v>9.836519931643792E-06</v>
      </c>
      <c r="L27">
        <f t="shared" si="11"/>
        <v>0.02644883237956942</v>
      </c>
      <c r="M27">
        <f t="shared" si="2"/>
        <v>1.4337862385017186</v>
      </c>
      <c r="N27">
        <f t="shared" si="12"/>
        <v>-0.6242818900039637</v>
      </c>
      <c r="O27">
        <f t="shared" si="13"/>
        <v>-1133.1670961253649</v>
      </c>
      <c r="P27">
        <f t="shared" si="3"/>
        <v>83.80903053350215</v>
      </c>
      <c r="Q27">
        <f t="shared" si="4"/>
        <v>34289.772761061955</v>
      </c>
    </row>
    <row r="28" spans="1:17" ht="12.75">
      <c r="A28">
        <v>19</v>
      </c>
      <c r="B28">
        <f t="shared" si="0"/>
        <v>-0.5343411836447609</v>
      </c>
      <c r="C28">
        <f t="shared" si="5"/>
        <v>85.91582260579126</v>
      </c>
      <c r="D28">
        <f t="shared" si="6"/>
        <v>2.416866809856055</v>
      </c>
      <c r="E28" s="1">
        <f t="shared" si="14"/>
        <v>-375</v>
      </c>
      <c r="F28">
        <v>4.745301717285981</v>
      </c>
      <c r="G28">
        <v>-0.5341974028494992</v>
      </c>
      <c r="H28">
        <f t="shared" si="7"/>
        <v>85.9158260244354</v>
      </c>
      <c r="I28">
        <f t="shared" si="8"/>
        <v>2.416072273662095</v>
      </c>
      <c r="J28">
        <f t="shared" si="9"/>
        <v>0.011857159192256694</v>
      </c>
      <c r="K28">
        <f t="shared" si="10"/>
        <v>6.657824891152103E-06</v>
      </c>
      <c r="L28">
        <f t="shared" si="11"/>
        <v>0.012116809742373403</v>
      </c>
      <c r="M28">
        <f t="shared" si="2"/>
        <v>1.5070647664954913</v>
      </c>
      <c r="N28">
        <f t="shared" si="12"/>
        <v>-0.2979510727349477</v>
      </c>
      <c r="O28">
        <f t="shared" si="13"/>
        <v>-766.9814274607223</v>
      </c>
      <c r="P28">
        <f t="shared" si="3"/>
        <v>87.9579133503698</v>
      </c>
      <c r="Q28">
        <f t="shared" si="4"/>
        <v>35155.10193224713</v>
      </c>
    </row>
    <row r="29" spans="1:15" ht="12.75">
      <c r="A29">
        <v>20</v>
      </c>
      <c r="B29">
        <f t="shared" si="0"/>
        <v>-0.59058762402842</v>
      </c>
      <c r="C29">
        <f t="shared" si="5"/>
        <v>89.99999999999996</v>
      </c>
      <c r="D29">
        <f t="shared" si="6"/>
        <v>3.9968028886505635E-15</v>
      </c>
      <c r="E29" s="1">
        <f t="shared" si="14"/>
        <v>-375</v>
      </c>
      <c r="F29">
        <v>4.745708605039827</v>
      </c>
      <c r="G29">
        <v>-0.59058762402842</v>
      </c>
      <c r="H29">
        <f t="shared" si="7"/>
        <v>90.00000067630418</v>
      </c>
      <c r="I29">
        <f t="shared" si="8"/>
        <v>-1.1786714404493637E-07</v>
      </c>
      <c r="N29">
        <f t="shared" si="12"/>
        <v>-4.420018051565222E-05</v>
      </c>
      <c r="O29">
        <f t="shared" si="13"/>
        <v>0</v>
      </c>
    </row>
    <row r="31" ht="13.5" thickBot="1"/>
    <row r="32" spans="1:2" ht="13.5" thickBot="1">
      <c r="A32" s="9" t="s">
        <v>21</v>
      </c>
      <c r="B32" s="10">
        <f>SUM(L10:L29)+SUM(M9:M28)+SUM(N10:N29)</f>
        <v>-26.36724990849651</v>
      </c>
    </row>
    <row r="35" spans="1:3" ht="12.75">
      <c r="A35" t="s">
        <v>36</v>
      </c>
      <c r="B35">
        <f>MAX(O10:O28)</f>
        <v>2394.697747340602</v>
      </c>
      <c r="C35" t="s">
        <v>37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D1">
      <selection activeCell="E33" sqref="E33"/>
    </sheetView>
  </sheetViews>
  <sheetFormatPr defaultColWidth="9.140625" defaultRowHeight="12.75"/>
  <cols>
    <col min="10" max="10" width="12.421875" style="0" customWidth="1"/>
    <col min="12" max="12" width="12.421875" style="0" bestFit="1" customWidth="1"/>
    <col min="14" max="14" width="12.421875" style="0" bestFit="1" customWidth="1"/>
    <col min="16" max="16" width="12.421875" style="0" bestFit="1" customWidth="1"/>
    <col min="17" max="17" width="9.57421875" style="0" bestFit="1" customWidth="1"/>
  </cols>
  <sheetData>
    <row r="1" spans="1:6" ht="12.75">
      <c r="A1" t="s">
        <v>24</v>
      </c>
      <c r="F1" t="s">
        <v>27</v>
      </c>
    </row>
    <row r="2" ht="13.5" thickBot="1"/>
    <row r="3" spans="1:7" ht="12.75">
      <c r="A3" s="2" t="s">
        <v>25</v>
      </c>
      <c r="B3" s="5">
        <v>90</v>
      </c>
      <c r="C3" s="5" t="s">
        <v>18</v>
      </c>
      <c r="D3" s="11">
        <v>30000000</v>
      </c>
      <c r="E3" t="s">
        <v>35</v>
      </c>
      <c r="F3" t="s">
        <v>5</v>
      </c>
      <c r="G3">
        <f>(d^2/(4*h)+h)/2</f>
        <v>84.38461538461539</v>
      </c>
    </row>
    <row r="4" spans="1:14" ht="13.5" thickBot="1">
      <c r="A4" s="3" t="s">
        <v>26</v>
      </c>
      <c r="B4" s="6">
        <v>13</v>
      </c>
      <c r="C4" s="6" t="s">
        <v>16</v>
      </c>
      <c r="D4" s="4">
        <f>0.18*4^3/3</f>
        <v>3.84</v>
      </c>
      <c r="F4" t="s">
        <v>3</v>
      </c>
      <c r="G4">
        <f>d/2</f>
        <v>45</v>
      </c>
      <c r="J4" t="s">
        <v>6</v>
      </c>
      <c r="K4">
        <v>20</v>
      </c>
      <c r="M4" t="s">
        <v>8</v>
      </c>
      <c r="N4">
        <f>ATAN(d/2/(rr-h))</f>
        <v>0.5624644038365905</v>
      </c>
    </row>
    <row r="5" spans="3:14" ht="13.5" thickBot="1">
      <c r="C5" s="7" t="s">
        <v>17</v>
      </c>
      <c r="D5" s="8">
        <f>4*4*0.18</f>
        <v>2.88</v>
      </c>
      <c r="F5" t="s">
        <v>4</v>
      </c>
      <c r="G5">
        <f>SQRT(4*rr^2-d^2)/2</f>
        <v>71.38461538461539</v>
      </c>
      <c r="J5" t="s">
        <v>28</v>
      </c>
      <c r="K5">
        <f>2*rr*SIN(dto/2)</f>
        <v>4.745708605039827</v>
      </c>
      <c r="M5" t="s">
        <v>9</v>
      </c>
      <c r="N5">
        <f>2*to/(ns)</f>
        <v>0.056246440383659044</v>
      </c>
    </row>
    <row r="7" spans="2:17" ht="12.75">
      <c r="B7" t="s">
        <v>10</v>
      </c>
      <c r="E7" t="s">
        <v>11</v>
      </c>
      <c r="F7" t="s">
        <v>12</v>
      </c>
      <c r="Q7" t="s">
        <v>31</v>
      </c>
    </row>
    <row r="8" spans="1:17" ht="12.75">
      <c r="A8" t="s">
        <v>7</v>
      </c>
      <c r="B8" t="s">
        <v>2</v>
      </c>
      <c r="C8" t="s">
        <v>0</v>
      </c>
      <c r="D8" t="s">
        <v>1</v>
      </c>
      <c r="E8" t="s">
        <v>34</v>
      </c>
      <c r="F8" t="s">
        <v>30</v>
      </c>
      <c r="G8" t="s">
        <v>2</v>
      </c>
      <c r="H8" t="s">
        <v>22</v>
      </c>
      <c r="I8" t="s">
        <v>23</v>
      </c>
      <c r="J8" t="s">
        <v>13</v>
      </c>
      <c r="K8" t="s">
        <v>14</v>
      </c>
      <c r="L8" t="s">
        <v>15</v>
      </c>
      <c r="M8" t="s">
        <v>19</v>
      </c>
      <c r="N8" t="s">
        <v>20</v>
      </c>
      <c r="O8" t="s">
        <v>29</v>
      </c>
      <c r="P8" t="s">
        <v>33</v>
      </c>
      <c r="Q8" t="s">
        <v>32</v>
      </c>
    </row>
    <row r="9" spans="1:17" ht="12.75">
      <c r="A9">
        <v>0</v>
      </c>
      <c r="B9">
        <f aca="true" t="shared" si="0" ref="B9:B29">to-dto*(A9+1/2)</f>
        <v>0.5343411836447609</v>
      </c>
      <c r="C9">
        <v>0</v>
      </c>
      <c r="D9">
        <v>0</v>
      </c>
      <c r="E9" s="1">
        <f aca="true" t="shared" si="1" ref="E9:E14">-7500/20</f>
        <v>-375</v>
      </c>
      <c r="F9">
        <v>4.745280385597556</v>
      </c>
      <c r="G9">
        <v>0.5339691463446307</v>
      </c>
      <c r="H9">
        <v>0</v>
      </c>
      <c r="I9">
        <v>0</v>
      </c>
      <c r="M9">
        <f aca="true" t="shared" si="2" ref="M9:M28">e*a*(so-F9)^2/so/2</f>
        <v>1.6692271564047045</v>
      </c>
      <c r="P9">
        <f aca="true" t="shared" si="3" ref="P9:P28">(H9+H10)/2</f>
        <v>2.0423538337623985</v>
      </c>
      <c r="Q9">
        <f aca="true" t="shared" si="4" ref="Q9:Q28">e*a*(so-F9)</f>
        <v>36998.159812205246</v>
      </c>
    </row>
    <row r="10" spans="1:17" ht="12.75">
      <c r="A10">
        <v>1</v>
      </c>
      <c r="B10">
        <f t="shared" si="0"/>
        <v>0.4780947432611019</v>
      </c>
      <c r="C10">
        <f aca="true" t="shared" si="5" ref="C10:C29">C9+so*COS(B9)</f>
        <v>4.084177394208691</v>
      </c>
      <c r="D10">
        <f aca="true" t="shared" si="6" ref="D10:D29">D9+so*SIN(B9)</f>
        <v>2.416866809856051</v>
      </c>
      <c r="E10" s="1">
        <f t="shared" si="1"/>
        <v>-375</v>
      </c>
      <c r="F10">
        <v>4.745290367694082</v>
      </c>
      <c r="G10">
        <v>0.47770943534115495</v>
      </c>
      <c r="H10">
        <f aca="true" t="shared" si="7" ref="H10:H29">H9+F9*COS(G9)</f>
        <v>4.084707667524797</v>
      </c>
      <c r="I10">
        <f aca="true" t="shared" si="8" ref="I10:I29">I9+F9*SIN(G9)</f>
        <v>2.4151292323188462</v>
      </c>
      <c r="J10">
        <f aca="true" t="shared" si="9" ref="J10:J28">2*(G9-G10)/(F9+F10)</f>
        <v>0.011855917302752948</v>
      </c>
      <c r="K10">
        <f aca="true" t="shared" si="10" ref="K10:K28">J10-1/rr</f>
        <v>5.415935387406354E-06</v>
      </c>
      <c r="L10">
        <f aca="true" t="shared" si="11" ref="L10:L28">(so)*e*i*K10^2/2</f>
        <v>0.008018082135212323</v>
      </c>
      <c r="M10">
        <f t="shared" si="2"/>
        <v>1.5923124767074117</v>
      </c>
      <c r="N10">
        <f aca="true" t="shared" si="12" ref="N10:N29">-E10*(I10-D10)</f>
        <v>-0.6515915764517266</v>
      </c>
      <c r="O10">
        <f aca="true" t="shared" si="13" ref="O10:O29">-e*i*K10</f>
        <v>-623.915756629212</v>
      </c>
      <c r="P10">
        <f t="shared" si="3"/>
        <v>6.191736006067476</v>
      </c>
      <c r="Q10">
        <f t="shared" si="4"/>
        <v>36135.70667233717</v>
      </c>
    </row>
    <row r="11" spans="1:17" ht="12.75">
      <c r="A11">
        <v>2</v>
      </c>
      <c r="B11">
        <f t="shared" si="0"/>
        <v>0.42184830287744285</v>
      </c>
      <c r="C11">
        <f t="shared" si="5"/>
        <v>8.297764501097888</v>
      </c>
      <c r="D11">
        <f t="shared" si="6"/>
        <v>4.600312219433809</v>
      </c>
      <c r="E11" s="1">
        <f t="shared" si="1"/>
        <v>-375</v>
      </c>
      <c r="F11">
        <v>4.745299313052537</v>
      </c>
      <c r="G11">
        <v>0.4214437256614324</v>
      </c>
      <c r="H11">
        <f t="shared" si="7"/>
        <v>8.298764344610156</v>
      </c>
      <c r="I11">
        <f t="shared" si="8"/>
        <v>4.596758668323629</v>
      </c>
      <c r="J11">
        <f t="shared" si="9"/>
        <v>0.011857157789440152</v>
      </c>
      <c r="K11">
        <f t="shared" si="10"/>
        <v>6.656422074610355E-06</v>
      </c>
      <c r="L11">
        <f t="shared" si="11"/>
        <v>0.01211170420995172</v>
      </c>
      <c r="M11">
        <f t="shared" si="2"/>
        <v>1.5249273850169052</v>
      </c>
      <c r="N11">
        <f t="shared" si="12"/>
        <v>-1.332581666317445</v>
      </c>
      <c r="O11">
        <f t="shared" si="13"/>
        <v>-766.8198229951129</v>
      </c>
      <c r="P11">
        <f t="shared" si="3"/>
        <v>10.46380548274053</v>
      </c>
      <c r="Q11">
        <f t="shared" si="4"/>
        <v>35362.82770183732</v>
      </c>
    </row>
    <row r="12" spans="1:17" ht="12.75">
      <c r="A12">
        <v>3</v>
      </c>
      <c r="B12">
        <f t="shared" si="0"/>
        <v>0.3656018624937838</v>
      </c>
      <c r="C12">
        <f t="shared" si="5"/>
        <v>12.627434469045657</v>
      </c>
      <c r="D12">
        <f t="shared" si="6"/>
        <v>6.543430366279293</v>
      </c>
      <c r="E12" s="1">
        <f t="shared" si="1"/>
        <v>-375</v>
      </c>
      <c r="F12">
        <v>4.745307192836832</v>
      </c>
      <c r="G12">
        <v>0.3651898605189</v>
      </c>
      <c r="H12">
        <f t="shared" si="7"/>
        <v>12.6288466208709</v>
      </c>
      <c r="I12">
        <f t="shared" si="8"/>
        <v>6.5379575379064025</v>
      </c>
      <c r="J12">
        <f t="shared" si="9"/>
        <v>0.01185464071397844</v>
      </c>
      <c r="K12">
        <f t="shared" si="10"/>
        <v>4.139346612898331E-06</v>
      </c>
      <c r="L12">
        <f t="shared" si="11"/>
        <v>0.004683679184729404</v>
      </c>
      <c r="M12">
        <f t="shared" si="2"/>
        <v>1.4667760853679221</v>
      </c>
      <c r="N12">
        <f t="shared" si="12"/>
        <v>-2.0523106398339097</v>
      </c>
      <c r="O12">
        <f t="shared" si="13"/>
        <v>-476.85272980588775</v>
      </c>
      <c r="P12">
        <f t="shared" si="3"/>
        <v>14.84503788624642</v>
      </c>
      <c r="Q12">
        <f t="shared" si="4"/>
        <v>34682.014338724795</v>
      </c>
    </row>
    <row r="13" spans="1:17" ht="12.75">
      <c r="A13">
        <v>4</v>
      </c>
      <c r="B13">
        <f t="shared" si="0"/>
        <v>0.3093554221101248</v>
      </c>
      <c r="C13">
        <f t="shared" si="5"/>
        <v>17.059493296297422</v>
      </c>
      <c r="D13">
        <f t="shared" si="6"/>
        <v>8.24007550175364</v>
      </c>
      <c r="E13" s="1">
        <f t="shared" si="1"/>
        <v>-375</v>
      </c>
      <c r="F13">
        <v>4.745313981276244</v>
      </c>
      <c r="G13">
        <v>0.30896189909669397</v>
      </c>
      <c r="H13">
        <f t="shared" si="7"/>
        <v>17.06122915162194</v>
      </c>
      <c r="I13">
        <f t="shared" si="8"/>
        <v>8.232633157451918</v>
      </c>
      <c r="J13">
        <f t="shared" si="9"/>
        <v>0.011849163588064232</v>
      </c>
      <c r="K13">
        <f t="shared" si="10"/>
        <v>-1.3377793013098077E-06</v>
      </c>
      <c r="L13">
        <f t="shared" si="11"/>
        <v>0.0004892068120594799</v>
      </c>
      <c r="M13">
        <f t="shared" si="2"/>
        <v>1.4175851234402879</v>
      </c>
      <c r="N13">
        <f t="shared" si="12"/>
        <v>-2.7908791131459054</v>
      </c>
      <c r="O13">
        <f t="shared" si="13"/>
        <v>154.11217551088984</v>
      </c>
      <c r="P13">
        <f t="shared" si="3"/>
        <v>19.32154021290527</v>
      </c>
      <c r="Q13">
        <f t="shared" si="4"/>
        <v>34095.49317357232</v>
      </c>
    </row>
    <row r="14" spans="1:17" ht="12.75">
      <c r="A14">
        <v>5</v>
      </c>
      <c r="B14">
        <f t="shared" si="0"/>
        <v>0.25310898172646573</v>
      </c>
      <c r="C14">
        <f t="shared" si="5"/>
        <v>21.579923142739258</v>
      </c>
      <c r="D14">
        <f t="shared" si="6"/>
        <v>9.684881428979473</v>
      </c>
      <c r="E14" s="1">
        <f t="shared" si="1"/>
        <v>-375</v>
      </c>
      <c r="F14">
        <v>4.745319661435739</v>
      </c>
      <c r="G14">
        <v>0.25277004468925807</v>
      </c>
      <c r="H14">
        <f t="shared" si="7"/>
        <v>21.581851274188594</v>
      </c>
      <c r="I14">
        <f t="shared" si="8"/>
        <v>9.675540086486766</v>
      </c>
      <c r="J14">
        <f t="shared" si="9"/>
        <v>0.011841539042145318</v>
      </c>
      <c r="K14">
        <f t="shared" si="10"/>
        <v>-8.962325220223527E-06</v>
      </c>
      <c r="L14">
        <f t="shared" si="11"/>
        <v>0.021956592933305732</v>
      </c>
      <c r="M14">
        <f t="shared" si="2"/>
        <v>1.3770697776075218</v>
      </c>
      <c r="N14">
        <f t="shared" si="12"/>
        <v>-3.503003434765173</v>
      </c>
      <c r="O14">
        <f t="shared" si="13"/>
        <v>1032.4598653697503</v>
      </c>
      <c r="P14">
        <f t="shared" si="3"/>
        <v>23.879116007561443</v>
      </c>
      <c r="Q14">
        <f t="shared" si="4"/>
        <v>33604.72739314844</v>
      </c>
    </row>
    <row r="15" spans="1:17" ht="12.75">
      <c r="A15">
        <v>6</v>
      </c>
      <c r="B15">
        <f t="shared" si="0"/>
        <v>0.19686254134280667</v>
      </c>
      <c r="C15">
        <f t="shared" si="5"/>
        <v>26.17442666591623</v>
      </c>
      <c r="D15">
        <f t="shared" si="6"/>
        <v>10.873278475199072</v>
      </c>
      <c r="E15" s="1">
        <f>-7500/20-244</f>
        <v>-619</v>
      </c>
      <c r="F15">
        <v>4.745327208642563</v>
      </c>
      <c r="G15">
        <v>0.19662203784157456</v>
      </c>
      <c r="H15">
        <f t="shared" si="7"/>
        <v>26.176380740934288</v>
      </c>
      <c r="I15">
        <f t="shared" si="8"/>
        <v>10.862282547349324</v>
      </c>
      <c r="J15">
        <f t="shared" si="9"/>
        <v>0.01183228237575765</v>
      </c>
      <c r="K15">
        <f t="shared" si="10"/>
        <v>-1.8218991607891685E-05</v>
      </c>
      <c r="L15">
        <f t="shared" si="11"/>
        <v>0.09073445255468628</v>
      </c>
      <c r="M15">
        <f t="shared" si="2"/>
        <v>1.3241459336658246</v>
      </c>
      <c r="N15">
        <f t="shared" si="12"/>
        <v>-6.8064793389942935</v>
      </c>
      <c r="O15">
        <f t="shared" si="13"/>
        <v>2098.827833229122</v>
      </c>
      <c r="P15">
        <f t="shared" si="3"/>
        <v>28.503328058586874</v>
      </c>
      <c r="Q15">
        <f t="shared" si="4"/>
        <v>32952.648723559716</v>
      </c>
    </row>
    <row r="16" spans="1:17" ht="12.75">
      <c r="A16">
        <v>7</v>
      </c>
      <c r="B16">
        <f t="shared" si="0"/>
        <v>0.14061610095914762</v>
      </c>
      <c r="C16">
        <f t="shared" si="5"/>
        <v>30.82847224106858</v>
      </c>
      <c r="D16">
        <f t="shared" si="6"/>
        <v>11.801507944863692</v>
      </c>
      <c r="E16" s="1">
        <f aca="true" t="shared" si="14" ref="E16:E29">-7500/20</f>
        <v>-375</v>
      </c>
      <c r="F16">
        <v>4.745330648812949</v>
      </c>
      <c r="G16">
        <v>0.14047650530334366</v>
      </c>
      <c r="H16">
        <f t="shared" si="7"/>
        <v>30.83027537623946</v>
      </c>
      <c r="I16">
        <f t="shared" si="8"/>
        <v>11.78931816724813</v>
      </c>
      <c r="J16">
        <f t="shared" si="9"/>
        <v>0.011831747257462248</v>
      </c>
      <c r="K16">
        <f t="shared" si="10"/>
        <v>-1.8754109903294097E-05</v>
      </c>
      <c r="L16">
        <f t="shared" si="11"/>
        <v>0.09614273338074825</v>
      </c>
      <c r="M16">
        <f t="shared" si="2"/>
        <v>1.3003662468993384</v>
      </c>
      <c r="N16">
        <f t="shared" si="12"/>
        <v>-4.571166605835897</v>
      </c>
      <c r="O16">
        <f t="shared" si="13"/>
        <v>2160.47346085948</v>
      </c>
      <c r="P16">
        <f t="shared" si="3"/>
        <v>33.17956850168525</v>
      </c>
      <c r="Q16">
        <f t="shared" si="4"/>
        <v>32655.41800221854</v>
      </c>
    </row>
    <row r="17" spans="1:17" ht="12.75">
      <c r="A17">
        <v>8</v>
      </c>
      <c r="B17">
        <f t="shared" si="0"/>
        <v>0.08436966057548861</v>
      </c>
      <c r="C17">
        <f t="shared" si="5"/>
        <v>35.5273399221626</v>
      </c>
      <c r="D17">
        <f t="shared" si="6"/>
        <v>12.46663400774139</v>
      </c>
      <c r="E17" s="1">
        <f t="shared" si="14"/>
        <v>-375</v>
      </c>
      <c r="F17">
        <v>4.745332956467744</v>
      </c>
      <c r="G17">
        <v>0.08433660597193818</v>
      </c>
      <c r="H17">
        <f t="shared" si="7"/>
        <v>35.52886162713104</v>
      </c>
      <c r="I17">
        <f t="shared" si="8"/>
        <v>12.453735362612672</v>
      </c>
      <c r="J17">
        <f t="shared" si="9"/>
        <v>0.011830552986867793</v>
      </c>
      <c r="K17">
        <f t="shared" si="10"/>
        <v>-1.9948380497748427E-05</v>
      </c>
      <c r="L17">
        <f t="shared" si="11"/>
        <v>0.10877744117733576</v>
      </c>
      <c r="M17">
        <f t="shared" si="2"/>
        <v>1.284535654152254</v>
      </c>
      <c r="N17">
        <f t="shared" si="12"/>
        <v>-4.836991923269363</v>
      </c>
      <c r="O17">
        <f t="shared" si="13"/>
        <v>2298.053433340619</v>
      </c>
      <c r="P17">
        <f t="shared" si="3"/>
        <v>37.89309511689787</v>
      </c>
      <c r="Q17">
        <f t="shared" si="4"/>
        <v>32456.036627985442</v>
      </c>
    </row>
    <row r="18" spans="1:17" ht="12.75">
      <c r="A18">
        <v>9</v>
      </c>
      <c r="B18">
        <f t="shared" si="0"/>
        <v>0.028123220191829557</v>
      </c>
      <c r="C18">
        <f t="shared" si="5"/>
        <v>40.25616799854925</v>
      </c>
      <c r="D18">
        <f t="shared" si="6"/>
        <v>12.866552984443324</v>
      </c>
      <c r="E18" s="1">
        <f t="shared" si="14"/>
        <v>-375</v>
      </c>
      <c r="F18">
        <v>4.745334117311322</v>
      </c>
      <c r="G18">
        <v>0.028204359335322077</v>
      </c>
      <c r="H18">
        <f t="shared" si="7"/>
        <v>40.257328606664686</v>
      </c>
      <c r="I18">
        <f t="shared" si="8"/>
        <v>12.853466386175832</v>
      </c>
      <c r="J18">
        <f t="shared" si="9"/>
        <v>0.011828935985268936</v>
      </c>
      <c r="K18">
        <f t="shared" si="10"/>
        <v>-2.1565382096605523E-05</v>
      </c>
      <c r="L18">
        <f t="shared" si="11"/>
        <v>0.12712701991664752</v>
      </c>
      <c r="M18">
        <f t="shared" si="2"/>
        <v>1.2766088785451806</v>
      </c>
      <c r="N18">
        <f t="shared" si="12"/>
        <v>-4.907474350309471</v>
      </c>
      <c r="O18">
        <f t="shared" si="13"/>
        <v>2484.3320175289564</v>
      </c>
      <c r="P18">
        <f t="shared" si="3"/>
        <v>42.629052016299696</v>
      </c>
      <c r="Q18">
        <f t="shared" si="4"/>
        <v>32355.739742794754</v>
      </c>
    </row>
    <row r="19" spans="1:17" ht="12.75">
      <c r="A19">
        <v>10</v>
      </c>
      <c r="B19">
        <f t="shared" si="0"/>
        <v>-0.028123220191829446</v>
      </c>
      <c r="C19">
        <f t="shared" si="5"/>
        <v>44.999999999999986</v>
      </c>
      <c r="D19">
        <f t="shared" si="6"/>
        <v>12.999999999999996</v>
      </c>
      <c r="E19" s="1">
        <f>-7500/20-244</f>
        <v>-619</v>
      </c>
      <c r="F19">
        <v>4.745334122459726</v>
      </c>
      <c r="G19">
        <v>-0.027918858315208198</v>
      </c>
      <c r="H19">
        <f t="shared" si="7"/>
        <v>45.000775425934705</v>
      </c>
      <c r="I19">
        <f t="shared" si="8"/>
        <v>12.9872877509721</v>
      </c>
      <c r="J19">
        <f t="shared" si="9"/>
        <v>0.011827031823816905</v>
      </c>
      <c r="K19">
        <f t="shared" si="10"/>
        <v>-2.3469543548636576E-05</v>
      </c>
      <c r="L19">
        <f t="shared" si="11"/>
        <v>0.15056805423715666</v>
      </c>
      <c r="M19">
        <f t="shared" si="2"/>
        <v>1.2765737775156116</v>
      </c>
      <c r="N19">
        <f t="shared" si="12"/>
        <v>-7.868882148267435</v>
      </c>
      <c r="O19">
        <f t="shared" si="13"/>
        <v>2703.6914168029334</v>
      </c>
      <c r="P19">
        <f t="shared" si="3"/>
        <v>47.37251784455016</v>
      </c>
      <c r="Q19">
        <f t="shared" si="4"/>
        <v>32355.29492073397</v>
      </c>
    </row>
    <row r="20" spans="1:17" ht="12.75">
      <c r="A20">
        <v>11</v>
      </c>
      <c r="B20">
        <f t="shared" si="0"/>
        <v>-0.08436966057548856</v>
      </c>
      <c r="C20">
        <f t="shared" si="5"/>
        <v>49.74383200145072</v>
      </c>
      <c r="D20">
        <f t="shared" si="6"/>
        <v>12.866552984443326</v>
      </c>
      <c r="E20" s="1">
        <f t="shared" si="14"/>
        <v>-375</v>
      </c>
      <c r="F20">
        <v>4.74533296686861</v>
      </c>
      <c r="G20">
        <v>-0.08407947663133045</v>
      </c>
      <c r="H20">
        <f t="shared" si="7"/>
        <v>49.74426026316562</v>
      </c>
      <c r="I20">
        <f t="shared" si="8"/>
        <v>12.854820650373417</v>
      </c>
      <c r="J20">
        <f t="shared" si="9"/>
        <v>0.011834914824748487</v>
      </c>
      <c r="K20">
        <f t="shared" si="10"/>
        <v>-1.558654261705518E-05</v>
      </c>
      <c r="L20">
        <f t="shared" si="11"/>
        <v>0.06640841797936575</v>
      </c>
      <c r="M20">
        <f t="shared" si="2"/>
        <v>1.2844645233117944</v>
      </c>
      <c r="N20">
        <f t="shared" si="12"/>
        <v>-4.399625276215513</v>
      </c>
      <c r="O20">
        <f t="shared" si="13"/>
        <v>1795.5697094847567</v>
      </c>
      <c r="P20">
        <f t="shared" si="3"/>
        <v>52.10854507124496</v>
      </c>
      <c r="Q20">
        <f t="shared" si="4"/>
        <v>32455.137993090942</v>
      </c>
    </row>
    <row r="21" spans="1:17" ht="12.75">
      <c r="A21">
        <v>12</v>
      </c>
      <c r="B21">
        <f t="shared" si="0"/>
        <v>-0.14061610095914756</v>
      </c>
      <c r="C21">
        <f t="shared" si="5"/>
        <v>54.472660077837375</v>
      </c>
      <c r="D21">
        <f t="shared" si="6"/>
        <v>12.466634007741392</v>
      </c>
      <c r="E21" s="1">
        <f t="shared" si="14"/>
        <v>-375</v>
      </c>
      <c r="F21">
        <v>4.745330665412265</v>
      </c>
      <c r="G21">
        <v>-0.14027584840027665</v>
      </c>
      <c r="H21">
        <f t="shared" si="7"/>
        <v>54.472829879324294</v>
      </c>
      <c r="I21">
        <f t="shared" si="8"/>
        <v>12.456305466734133</v>
      </c>
      <c r="J21">
        <f t="shared" si="9"/>
        <v>0.011842453583077969</v>
      </c>
      <c r="K21">
        <f t="shared" si="10"/>
        <v>-8.047784287572995E-06</v>
      </c>
      <c r="L21">
        <f t="shared" si="11"/>
        <v>0.017704195871358904</v>
      </c>
      <c r="M21">
        <f t="shared" si="2"/>
        <v>1.3002520288268382</v>
      </c>
      <c r="N21">
        <f t="shared" si="12"/>
        <v>-3.873202877722415</v>
      </c>
      <c r="O21">
        <f t="shared" si="13"/>
        <v>927.1047499284091</v>
      </c>
      <c r="P21">
        <f t="shared" si="3"/>
        <v>56.82218962564114</v>
      </c>
      <c r="Q21">
        <f t="shared" si="4"/>
        <v>32653.98382134208</v>
      </c>
    </row>
    <row r="22" spans="1:17" ht="12.75">
      <c r="A22">
        <v>13</v>
      </c>
      <c r="B22">
        <f t="shared" si="0"/>
        <v>-0.19686254134280667</v>
      </c>
      <c r="C22">
        <f t="shared" si="5"/>
        <v>59.17152775893139</v>
      </c>
      <c r="D22">
        <f t="shared" si="6"/>
        <v>11.801507944863696</v>
      </c>
      <c r="E22" s="1">
        <f t="shared" si="14"/>
        <v>-375</v>
      </c>
      <c r="F22">
        <v>4.745327233149555</v>
      </c>
      <c r="G22">
        <v>-0.19650540759536336</v>
      </c>
      <c r="H22">
        <f t="shared" si="7"/>
        <v>59.17154937195798</v>
      </c>
      <c r="I22">
        <f t="shared" si="8"/>
        <v>11.792831086184085</v>
      </c>
      <c r="J22">
        <f t="shared" si="9"/>
        <v>0.011849454441637292</v>
      </c>
      <c r="K22">
        <f t="shared" si="10"/>
        <v>-1.0469257282503391E-06</v>
      </c>
      <c r="L22">
        <f t="shared" si="11"/>
        <v>0.0002996093049904632</v>
      </c>
      <c r="M22">
        <f t="shared" si="2"/>
        <v>1.3239757705943078</v>
      </c>
      <c r="N22">
        <f t="shared" si="12"/>
        <v>-3.2538220048539124</v>
      </c>
      <c r="O22">
        <f t="shared" si="13"/>
        <v>120.60584389443906</v>
      </c>
      <c r="P22">
        <f t="shared" si="3"/>
        <v>61.49855074599813</v>
      </c>
      <c r="Q22">
        <f t="shared" si="4"/>
        <v>32950.53131945167</v>
      </c>
    </row>
    <row r="23" spans="1:17" ht="12.75">
      <c r="A23">
        <v>14</v>
      </c>
      <c r="B23">
        <f t="shared" si="0"/>
        <v>-0.2531089817264657</v>
      </c>
      <c r="C23">
        <f t="shared" si="5"/>
        <v>63.82557333408374</v>
      </c>
      <c r="D23">
        <f t="shared" si="6"/>
        <v>10.873278475199076</v>
      </c>
      <c r="E23" s="1">
        <f t="shared" si="14"/>
        <v>-375</v>
      </c>
      <c r="F23">
        <v>4.745322672402693</v>
      </c>
      <c r="G23">
        <v>-0.25276435357276544</v>
      </c>
      <c r="H23">
        <f t="shared" si="7"/>
        <v>63.82555212003829</v>
      </c>
      <c r="I23">
        <f t="shared" si="8"/>
        <v>10.866338252681436</v>
      </c>
      <c r="J23">
        <f t="shared" si="9"/>
        <v>0.0118556572073087</v>
      </c>
      <c r="K23">
        <f t="shared" si="10"/>
        <v>5.155839943158172E-06</v>
      </c>
      <c r="L23">
        <f t="shared" si="11"/>
        <v>0.007266451934292127</v>
      </c>
      <c r="M23">
        <f t="shared" si="2"/>
        <v>1.3558314159135159</v>
      </c>
      <c r="N23">
        <f t="shared" si="12"/>
        <v>-2.602583444115014</v>
      </c>
      <c r="O23">
        <f t="shared" si="13"/>
        <v>-593.9527614518214</v>
      </c>
      <c r="P23">
        <f t="shared" si="3"/>
        <v>66.12282168796519</v>
      </c>
      <c r="Q23">
        <f t="shared" si="4"/>
        <v>33344.57984832398</v>
      </c>
    </row>
    <row r="24" spans="1:17" ht="12.75">
      <c r="A24">
        <v>15</v>
      </c>
      <c r="B24">
        <f t="shared" si="0"/>
        <v>-0.3093554221101247</v>
      </c>
      <c r="C24">
        <f t="shared" si="5"/>
        <v>68.42007685726071</v>
      </c>
      <c r="D24">
        <f t="shared" si="6"/>
        <v>9.684881428979477</v>
      </c>
      <c r="E24" s="1">
        <f t="shared" si="14"/>
        <v>-375</v>
      </c>
      <c r="F24">
        <v>4.74531698188544</v>
      </c>
      <c r="G24">
        <v>-0.3090471246214444</v>
      </c>
      <c r="H24">
        <f t="shared" si="7"/>
        <v>68.42009125589207</v>
      </c>
      <c r="I24">
        <f t="shared" si="8"/>
        <v>9.679621186853607</v>
      </c>
      <c r="J24">
        <f t="shared" si="9"/>
        <v>0.011860690764557442</v>
      </c>
      <c r="K24">
        <f t="shared" si="10"/>
        <v>1.0189397191899888E-05</v>
      </c>
      <c r="L24">
        <f t="shared" si="11"/>
        <v>0.02838053219851578</v>
      </c>
      <c r="M24">
        <f t="shared" si="2"/>
        <v>1.3961092383946867</v>
      </c>
      <c r="N24">
        <f t="shared" si="12"/>
        <v>-1.9725907972010237</v>
      </c>
      <c r="O24">
        <f t="shared" si="13"/>
        <v>-1173.818556506867</v>
      </c>
      <c r="P24">
        <f t="shared" si="3"/>
        <v>70.6803422519425</v>
      </c>
      <c r="Q24">
        <f t="shared" si="4"/>
        <v>33836.24053898018</v>
      </c>
    </row>
    <row r="25" spans="1:17" ht="12.75">
      <c r="A25">
        <v>16</v>
      </c>
      <c r="B25">
        <f t="shared" si="0"/>
        <v>-0.3656018624937838</v>
      </c>
      <c r="C25">
        <f t="shared" si="5"/>
        <v>72.94050670370254</v>
      </c>
      <c r="D25">
        <f t="shared" si="6"/>
        <v>8.240075501753644</v>
      </c>
      <c r="E25" s="1">
        <f t="shared" si="14"/>
        <v>-375</v>
      </c>
      <c r="F25">
        <v>4.745310171164602</v>
      </c>
      <c r="G25">
        <v>-0.36534653239158116</v>
      </c>
      <c r="H25">
        <f t="shared" si="7"/>
        <v>72.94059324799295</v>
      </c>
      <c r="I25">
        <f t="shared" si="8"/>
        <v>8.236328078028412</v>
      </c>
      <c r="J25">
        <f t="shared" si="9"/>
        <v>0.011864212314366091</v>
      </c>
      <c r="K25">
        <f t="shared" si="10"/>
        <v>1.371094700054927E-05</v>
      </c>
      <c r="L25">
        <f t="shared" si="11"/>
        <v>0.0513876143069282</v>
      </c>
      <c r="M25">
        <f t="shared" si="2"/>
        <v>1.4450909773793488</v>
      </c>
      <c r="N25">
        <f t="shared" si="12"/>
        <v>-1.4052838969618175</v>
      </c>
      <c r="O25">
        <f t="shared" si="13"/>
        <v>-1579.5010944632759</v>
      </c>
      <c r="P25">
        <f t="shared" si="3"/>
        <v>75.15665312304725</v>
      </c>
      <c r="Q25">
        <f t="shared" si="4"/>
        <v>34424.686819380666</v>
      </c>
    </row>
    <row r="26" spans="1:17" ht="12.75">
      <c r="A26">
        <v>17</v>
      </c>
      <c r="B26">
        <f t="shared" si="0"/>
        <v>-0.4218483028774428</v>
      </c>
      <c r="C26">
        <f t="shared" si="5"/>
        <v>77.3725655309543</v>
      </c>
      <c r="D26">
        <f t="shared" si="6"/>
        <v>6.5434303662792965</v>
      </c>
      <c r="E26" s="1">
        <f t="shared" si="14"/>
        <v>-375</v>
      </c>
      <c r="F26">
        <v>4.7453022677073955</v>
      </c>
      <c r="G26">
        <v>-0.4216524344572455</v>
      </c>
      <c r="H26">
        <f t="shared" si="7"/>
        <v>77.37271299810155</v>
      </c>
      <c r="I26">
        <f t="shared" si="8"/>
        <v>6.540956985536994</v>
      </c>
      <c r="J26">
        <f t="shared" si="9"/>
        <v>0.011865599281042085</v>
      </c>
      <c r="K26">
        <f t="shared" si="10"/>
        <v>1.5097913676542785E-05</v>
      </c>
      <c r="L26">
        <f t="shared" si="11"/>
        <v>0.062309953554038906</v>
      </c>
      <c r="M26">
        <f t="shared" si="2"/>
        <v>1.5029901309670988</v>
      </c>
      <c r="N26">
        <f t="shared" si="12"/>
        <v>-0.9275177783635291</v>
      </c>
      <c r="O26">
        <f t="shared" si="13"/>
        <v>-1739.2796555377288</v>
      </c>
      <c r="P26">
        <f t="shared" si="3"/>
        <v>79.5375528643743</v>
      </c>
      <c r="Q26">
        <f t="shared" si="4"/>
        <v>35107.545522058106</v>
      </c>
    </row>
    <row r="27" spans="1:17" ht="12.75">
      <c r="A27">
        <v>18</v>
      </c>
      <c r="B27">
        <f t="shared" si="0"/>
        <v>-0.4780947432611018</v>
      </c>
      <c r="C27">
        <f t="shared" si="5"/>
        <v>81.70223549890207</v>
      </c>
      <c r="D27">
        <f t="shared" si="6"/>
        <v>4.600312219433812</v>
      </c>
      <c r="E27" s="1">
        <f t="shared" si="14"/>
        <v>-375</v>
      </c>
      <c r="F27">
        <v>4.745293318370747</v>
      </c>
      <c r="G27">
        <v>-0.4779531111941598</v>
      </c>
      <c r="H27">
        <f t="shared" si="7"/>
        <v>81.70239273064708</v>
      </c>
      <c r="I27">
        <f t="shared" si="8"/>
        <v>4.598853222734024</v>
      </c>
      <c r="J27">
        <f t="shared" si="9"/>
        <v>0.01186451919192561</v>
      </c>
      <c r="K27">
        <f t="shared" si="10"/>
        <v>1.4017824560067643E-05</v>
      </c>
      <c r="L27">
        <f t="shared" si="11"/>
        <v>0.05371366573883359</v>
      </c>
      <c r="M27">
        <f t="shared" si="2"/>
        <v>1.5699241097009515</v>
      </c>
      <c r="N27">
        <f t="shared" si="12"/>
        <v>-0.5471237624204983</v>
      </c>
      <c r="O27">
        <f t="shared" si="13"/>
        <v>-1614.8533893197925</v>
      </c>
      <c r="P27">
        <f t="shared" si="3"/>
        <v>83.8091565114394</v>
      </c>
      <c r="Q27">
        <f t="shared" si="4"/>
        <v>35880.768208500056</v>
      </c>
    </row>
    <row r="28" spans="1:17" ht="12.75">
      <c r="A28">
        <v>19</v>
      </c>
      <c r="B28">
        <f t="shared" si="0"/>
        <v>-0.5343411836447609</v>
      </c>
      <c r="C28">
        <f t="shared" si="5"/>
        <v>85.91582260579126</v>
      </c>
      <c r="D28">
        <f t="shared" si="6"/>
        <v>2.416866809856055</v>
      </c>
      <c r="E28" s="1">
        <f t="shared" si="14"/>
        <v>-375</v>
      </c>
      <c r="F28">
        <v>4.74528336101038</v>
      </c>
      <c r="G28">
        <v>-0.5342298961380253</v>
      </c>
      <c r="H28">
        <f t="shared" si="7"/>
        <v>85.91592029223172</v>
      </c>
      <c r="I28">
        <f t="shared" si="8"/>
        <v>2.4161956304533176</v>
      </c>
      <c r="J28">
        <f t="shared" si="9"/>
        <v>0.01185950798250866</v>
      </c>
      <c r="K28">
        <f t="shared" si="10"/>
        <v>9.006615143117638E-06</v>
      </c>
      <c r="L28">
        <f t="shared" si="11"/>
        <v>0.02217413885357386</v>
      </c>
      <c r="M28">
        <f t="shared" si="2"/>
        <v>1.6461110413625004</v>
      </c>
      <c r="N28">
        <f t="shared" si="12"/>
        <v>-0.2516922760264495</v>
      </c>
      <c r="O28">
        <f t="shared" si="13"/>
        <v>-1037.562064487152</v>
      </c>
      <c r="P28">
        <f t="shared" si="3"/>
        <v>87.95796046475412</v>
      </c>
      <c r="Q28">
        <f t="shared" si="4"/>
        <v>36741.08414416253</v>
      </c>
    </row>
    <row r="29" spans="1:15" ht="12.75">
      <c r="A29">
        <v>20</v>
      </c>
      <c r="B29">
        <f t="shared" si="0"/>
        <v>-0.59058762402842</v>
      </c>
      <c r="C29">
        <f t="shared" si="5"/>
        <v>89.99999999999996</v>
      </c>
      <c r="D29">
        <f t="shared" si="6"/>
        <v>3.9968028886505635E-15</v>
      </c>
      <c r="E29" s="1">
        <f t="shared" si="14"/>
        <v>-375</v>
      </c>
      <c r="F29">
        <v>4.745708605039827</v>
      </c>
      <c r="G29">
        <v>-0.59058762402842</v>
      </c>
      <c r="H29">
        <f t="shared" si="7"/>
        <v>90.00000063727653</v>
      </c>
      <c r="I29">
        <f t="shared" si="8"/>
        <v>-1.2144689476301096E-07</v>
      </c>
      <c r="N29">
        <f t="shared" si="12"/>
        <v>-4.554258703493019E-05</v>
      </c>
      <c r="O29">
        <f t="shared" si="13"/>
        <v>0</v>
      </c>
    </row>
    <row r="31" ht="13.5" thickBot="1"/>
    <row r="32" spans="1:2" ht="13.5" thickBot="1">
      <c r="A32" s="9" t="s">
        <v>21</v>
      </c>
      <c r="B32" s="10">
        <f>SUM(L10:L29)+SUM(M9:M28)+SUM(N10:N29)</f>
        <v>-29.28971717560009</v>
      </c>
    </row>
    <row r="35" spans="1:3" ht="12.75">
      <c r="A35" t="s">
        <v>36</v>
      </c>
      <c r="B35">
        <f>MAX(O10:O28)</f>
        <v>2703.6914168029334</v>
      </c>
      <c r="C35" t="s">
        <v>37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blume</cp:lastModifiedBy>
  <cp:lastPrinted>2005-02-21T21:53:19Z</cp:lastPrinted>
  <dcterms:created xsi:type="dcterms:W3CDTF">2005-02-21T21:03:18Z</dcterms:created>
  <dcterms:modified xsi:type="dcterms:W3CDTF">2010-04-07T13:11:24Z</dcterms:modified>
  <cp:category/>
  <cp:version/>
  <cp:contentType/>
  <cp:contentStatus/>
</cp:coreProperties>
</file>